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04.12.2017" sheetId="1" r:id="rId1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<sst xmlns="http://schemas.openxmlformats.org/spreadsheetml/2006/main" count="339" uniqueCount="181">
  <si>
    <r>
      <rPr>
        <b/>
        <sz val="10"/>
        <rFont val="Arial Narrow"/>
        <family val="2"/>
      </rPr>
      <t xml:space="preserve">Перелік лікарських засобів та виробів медичного призначення закуплених    
КЗ "Криворізька міська клінічна лікарня № 2"ДОР"
станом на </t>
    </r>
    <r>
      <rPr>
        <b/>
        <sz val="10"/>
        <color indexed="10"/>
        <rFont val="Arial Narrow"/>
        <family val="2"/>
      </rPr>
      <t>04 грудня 2017 р.</t>
    </r>
  </si>
  <si>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</si>
  <si>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</si>
  <si>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</si>
  <si>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</si>
  <si>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</si>
  <si>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</si>
  <si>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</si>
  <si>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</si>
  <si>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L-лизина эсцинат амп. 0.1% 5мл N10</t>
  </si>
  <si>
    <t>уп</t>
  </si>
  <si>
    <t>Адреналин р-р д/ин. амп.1,82мг/мл 1 мл N10*</t>
  </si>
  <si>
    <t>АЗИТРОМІЦИН-АСТРАФАРМ капс. по 500 мг № 3 (3х1)</t>
  </si>
  <si>
    <t>актовегин амп 200мг 5мл № 5</t>
  </si>
  <si>
    <t>АКТОВЕГІН розчин для ін`єкцій 40мг/мл по 10 мл (400мг) в ампулі №5</t>
  </si>
  <si>
    <t>Амброксол табл. 0.03 N20 (10х2)</t>
  </si>
  <si>
    <t>аминазин р-р д/ин амп 2,5% 2мл</t>
  </si>
  <si>
    <t>амицил 1г в/в</t>
  </si>
  <si>
    <t>амоксил-К пор д/п.ин.р-ра 1,2г № 1 фл</t>
  </si>
  <si>
    <t>фл</t>
  </si>
  <si>
    <t>анальгин амп 50% 2мл № 10</t>
  </si>
  <si>
    <t>АНАПІРОН Розчин для інфузій 10 мг/мл по 100 мл (1000 мг) у контейнерах № 1</t>
  </si>
  <si>
    <t>Аритмил р-р д/ин.150мг 3мл амп.N5 (5х1)*</t>
  </si>
  <si>
    <t>аскорбиновая к-та р-р д/ин 100мг/мл амп 2мл № 10</t>
  </si>
  <si>
    <t>аспаркам-Ф р-р д/ин амп 10мл № 10</t>
  </si>
  <si>
    <t>Ацетилцестеин пак.200мг/3г N10</t>
  </si>
  <si>
    <t>Бриллиант.зел. 1% 20мл</t>
  </si>
  <si>
    <t>ГЕКОВЕН.Розчин для інфузій по 400 мл у пляшках</t>
  </si>
  <si>
    <t>ФЛ</t>
  </si>
  <si>
    <t>Гепарин-Индар р-р д/ин. 5000МО/мл 5мл (25000МО) фл. №5*</t>
  </si>
  <si>
    <t>ГиК р-р д/инф.200мл*</t>
  </si>
  <si>
    <t>Глюкоза р-р д/инф.10% 200мл фл.*</t>
  </si>
  <si>
    <t>ГЛЮКОЗА.Розчин для інфузій 10 % по 400 мл у контейнерах</t>
  </si>
  <si>
    <t>Глюкоза-Д амп. 40% 20мл N10*</t>
  </si>
  <si>
    <t>Глюкоза-Новофарм р-р д/инф. 5% 200мл фл.*</t>
  </si>
  <si>
    <t>Глюкоза-Новофарм р-р д/инф. 5% 400мл фл.*</t>
  </si>
  <si>
    <t>ДЕКСА-ЗДОРОВ`Я Розчин для ін`єкцій, 25 мг/мл по 2 мл в ампулах № 5 (5х1) у блістерах в коробці;</t>
  </si>
  <si>
    <t>ДЕКСА-ЗДОРОВ`Я Розчин для ін`єкцій, 25 мг/мл по 2 мл в ампулах № 10 (5х2) у блістерах в коробці;</t>
  </si>
  <si>
    <t>дексаметазон р-р д/ин 4мг/мл амп 1мл № 5</t>
  </si>
  <si>
    <t>Диазепекс 5мг/мл 2 мл №10(5*2) р-н д/ін.</t>
  </si>
  <si>
    <t>пачка</t>
  </si>
  <si>
    <t xml:space="preserve">Дибазол - Дарниця р-н для ін"єкцій,10 мл/мл по 5 мл. № 10 </t>
  </si>
  <si>
    <t>ДИКЛОФЕНАК НАТРІЮ.Розчин для ін`єкцій, 25 мг/мл по 3 мл в ампулі № 5</t>
  </si>
  <si>
    <t>ДИМЕДРОЛ Розчин для ін`єкцій, 10 мг/мл по 1 мл в ампулі, по 10 ампул у контурній чарунковій упаковці</t>
  </si>
  <si>
    <t>Димексид 100мл</t>
  </si>
  <si>
    <t>диоксидин амп 1% 10мл № 10</t>
  </si>
  <si>
    <t>Дофамин-Д конц.д/пр.р-ра д/инф.40мг/мл 5мл амп.N10*</t>
  </si>
  <si>
    <t>ЕТАМЗИЛАТ. Розчин для ін`єкцій 12.5% по 2 мл в ампулах № 10</t>
  </si>
  <si>
    <t>ЙОДУ РОЗЧИН СПИРТОВИЙ. Розчин для зовнішнього застосування, спиртовий 5% по 100 мл у флаконах</t>
  </si>
  <si>
    <t>калия хлорид 4% 100мл стер /апт фас/ндс/</t>
  </si>
  <si>
    <t>Калия хлорид р-р д/инф.4% 50мл фл.*</t>
  </si>
  <si>
    <t>КАЛЬЦІЮ ГЛЮКОНАТ СТАБІЛІЗОВАНИЙ Розчин для ін`єкцій, 100 мг/мл по 10 мл в ампулах № 10</t>
  </si>
  <si>
    <t>Кейвер р-р д/ин.50мг/2мл 2мл амп. №10 (5х2) блистер</t>
  </si>
  <si>
    <t>Кетамін 50мг/мл 2мл №10 р-н д/ін. амп.</t>
  </si>
  <si>
    <t>Клофелин-ЗН р-н для ін. 0,01% 1 мл № 10</t>
  </si>
  <si>
    <t>КЕТОЛОНГ-ДАРНИЦЯ Розчин для ін`єкцій, 30 мг/мл по 1 мл в ампулах № 10</t>
  </si>
  <si>
    <t>КЛЕКСАН®.Розчин для ін`єкцій, 10 000 анти-Ха МО/мл по 4000 анти-Ха МО/0,4 мл, у шприц-дозах з захисною системою голки №10 (2х5)</t>
  </si>
  <si>
    <t>КОНТРИВЕН Розчин для ін`єкцій, 10 000 КІО/мл по 1 мл в ампулах № 10</t>
  </si>
  <si>
    <t>Левомицетин пор д/приг р-ну д/ин 1.0 г</t>
  </si>
  <si>
    <t>Левомеколь мазь 40г туб.</t>
  </si>
  <si>
    <t>Лизиноприл-Астрафарм табл. 10мг N20 (10х2)</t>
  </si>
  <si>
    <t>Лизиноприл-Астрафарм табл. 5мг N20 (10х2)</t>
  </si>
  <si>
    <t>лира р-р д/ин 1000мг/4мл 4мл амп № 10 (5*2)</t>
  </si>
  <si>
    <t>ЛІДОКАЇН-ЗДОРОВ`Я ,розчин для ін`єкцій 100 мг/мл по 2 мл в ампулі № 10 у картонній коробці з перегородками</t>
  </si>
  <si>
    <t>ЛІДОКАЇН-ЗДОРОВ`Я Розчин для ін`єкцій, 20 мг/мл по 2 мл в ампулах № 10 у картонній коробці</t>
  </si>
  <si>
    <t>Лінезолідин 2мг/мл по 300 мл №1</t>
  </si>
  <si>
    <t>ЛІНКОМІЦИН -ДАРНИЦЯ Розчин для ін`єкцій 30 % по 2 мл в ампулах № 10</t>
  </si>
  <si>
    <t>Магнію сульфат р-н для ін"єкцій, 250 мг/мл по 5 мл № 10</t>
  </si>
  <si>
    <t>Маннит р-р д/инф. 15% 200мл*</t>
  </si>
  <si>
    <t>Мезатон амп. 1% 1мл N10</t>
  </si>
  <si>
    <t>Мерабоцид пор. для ін. 1000 мг по 1 фл</t>
  </si>
  <si>
    <t>Метилурацил с мирамистином мазь 30г</t>
  </si>
  <si>
    <t>метоклопрамид г/х р-р д/ин амп 5мг/мл 2мл № 10</t>
  </si>
  <si>
    <t>Метонат р-р д/ин.100мг/мл 5мл амп. N10</t>
  </si>
  <si>
    <t>метронидазол 0,5% 100мл (ПВХ)</t>
  </si>
  <si>
    <t>Мирамистин-Д мазь 0.5% 15г</t>
  </si>
  <si>
    <t>Морфін гідрохлорид 10 мг/мл 1 мл №5 р-н д/ін. амп.</t>
  </si>
  <si>
    <t>Мукосол р-р д/инф.7.5мг/мл 2мл амп. №10</t>
  </si>
  <si>
    <t>Натрия гидрокарб. р-р д/инф. 4% 100мл*</t>
  </si>
  <si>
    <t>Натрия хлорид 0.9% 200мл*</t>
  </si>
  <si>
    <t>Налоксон-зн р-н для ін. 0,4 мг/мл по1 мл №10</t>
  </si>
  <si>
    <t>Натрію оксибутират 200мг/мл 10мл №10 р-н д/ін. амп.+</t>
  </si>
  <si>
    <t>НАТРІЮ ХЛОРИД Розчин ізотонічний для інфузій 0,9 % по 400 мл у контейнерах</t>
  </si>
  <si>
    <t>Нитроглицерин конц.д/р-ра д/инф. 10мг/мл амп. 2мл N10*</t>
  </si>
  <si>
    <t>новокаин амп 0,5% 5мл № 10</t>
  </si>
  <si>
    <t>новокаин р-р д/ин 0,5% 200мл</t>
  </si>
  <si>
    <t>НОРМОПРЕС Таблетки № 20 (10х2)</t>
  </si>
  <si>
    <t>норфлоксацин табл п/о 0,4 № 10</t>
  </si>
  <si>
    <t xml:space="preserve">НО-Х-ША® Розчин для ін`єкцій, 20 мг/мл по 2 мл в ампулі; по 5 ампул у пачці з картону; по 2 мл в ампулі; по 5 ампул у блістері; </t>
  </si>
  <si>
    <t>Офлоксацин табл. по 0.2 г № 10</t>
  </si>
  <si>
    <t>ОКСИТОЦИН. Розчин для ін`єкцій, 5 МО/мл по 1 мл в ампулах № 10</t>
  </si>
  <si>
    <t>омніпак р-н для ін"єкцій, 5 мл/мл по 5 мл в амп. № 10</t>
  </si>
  <si>
    <t>орнизол р-р д/инф 5мг/мл 100мл</t>
  </si>
  <si>
    <t>ПАПАВЕРИН. Розчин для ін`єкцій, 20 мг/мл по 2 мл в ампулах №10 (5х2) у блістерах у пачці</t>
  </si>
  <si>
    <t>парацетамол-Д  табл 500мг № 10</t>
  </si>
  <si>
    <t>ПЕНТОКСИФІЛІН-ДАРНИЦЯ, Розчин для ін`єкцій, 20 мг/мл по 5 мл в ампулах № 10</t>
  </si>
  <si>
    <t>УП</t>
  </si>
  <si>
    <t>перекись водорода 3% 400мл /апт фас/ндс/</t>
  </si>
  <si>
    <t>ПІРАЦЕТАМ-ЗДОРОВ`Я Розчин для ін`єкцій 200 мг/мл по 5 мл в ампулах, № 10 (5х2) у блістерах в коробці;</t>
  </si>
  <si>
    <t>ПРОЗЕРИН Розчин для ін`єкцій, 0,5 мг/мл по 1 мл в ампулах № 10</t>
  </si>
  <si>
    <t>Промедол 20мг/мл 1мл №5 р-н д/ін. амп.</t>
  </si>
  <si>
    <t>ПРОПОФОЛ-НОВО Емульсія для інфузій, 10 мг/мл по 20 мл у пляшках № 5</t>
  </si>
  <si>
    <t>Пентотрен Розчин для інфузій , 0,5 мг/мл по 200 мл у флаконах</t>
  </si>
  <si>
    <t>реналган р-н д/ин амп 5мл № 5</t>
  </si>
  <si>
    <t>Ревмалгин Розчин для ін`єкцій по 1,5 мл в ампулах № 5</t>
  </si>
  <si>
    <t>РЕФОРДЕЗ-НОВОФАРМ. Розчин для інфузій , 60 мг/мл по 200 мл у пляшках</t>
  </si>
  <si>
    <t>РЕФОРДЕЗ-НОВОФАРМ. Розчин для інфузій 60 мг/мл по 400 мл у пляшках</t>
  </si>
  <si>
    <t>Рибоксин амп. 2% 5мл N10</t>
  </si>
  <si>
    <t>Рингера р-р 400мл (ПВХ)*</t>
  </si>
  <si>
    <t>РОЗЧИН ХАРТМАНА. Розчин для інфузій по 200 мл у пляшках скляних</t>
  </si>
  <si>
    <t>РОЗЧИН ХАРТМАНА. Розчин для інфузій по 400 мл у пляшках скляних</t>
  </si>
  <si>
    <t xml:space="preserve">Суфер р-р д/ин 20 мг/мл 5 мл № 5 </t>
  </si>
  <si>
    <t>Спирт етиловий мед 96% 100мл</t>
  </si>
  <si>
    <t>Тивомакс р-р д/инф. 42мг/мл 100мл фл. пп.</t>
  </si>
  <si>
    <t>Толперил-Здоровье р-р д/ин. 1мл N5</t>
  </si>
  <si>
    <t>ТОРСИД ®. Розчин для ін`єкцій, 5 мг/мл по 4 мл в ампулах № 5</t>
  </si>
  <si>
    <t>Триомбраст амп. 76% 20мл N5*</t>
  </si>
  <si>
    <t>Трисоль 400мл*</t>
  </si>
  <si>
    <t>Фентаніл 0,05мг/мл 2мл №5 р-н д/ін.</t>
  </si>
  <si>
    <t>флоксиум (лефлоцин, Лефлок) р-р д/инф 5мл/мг 100мл № 1 фл.в/уп</t>
  </si>
  <si>
    <t>Фуросемид р-р д/ин.амп. 1% 2мл N10*</t>
  </si>
  <si>
    <t>Хлорофіліпт р-н спиртовий 100 мл</t>
  </si>
  <si>
    <t>ЦЕРЕБРОЛІЗИН® . Розчин для ін`єкцій, 215,2 мг/мл ,по 10 мл (2152 мг) в ампулах № 5 в картонній коробці</t>
  </si>
  <si>
    <t>цефазолин пор д/пр-ра д/ин 1г № 10 фл</t>
  </si>
  <si>
    <t>Цефуроксим пор.для розч. для ін. по 750 мг №1</t>
  </si>
  <si>
    <t>цефопектам пор д/р-ра д/ин 1г /1г фл № 1</t>
  </si>
  <si>
    <t>ЦЕФТРІАКСОН-БХФЗ Порошок для розчину для ін`єкцій по 1000 мг у флаконі № 1 у пачці</t>
  </si>
  <si>
    <t>ЦИПРОФЛОКСАЦИН-НОВОФАРМ. Розчин для інфузій 0.2% по 100 мл у пляшках</t>
  </si>
  <si>
    <t>Еналаприл табл. по 0,01 г №20</t>
  </si>
  <si>
    <t>Севоран рідина для інгаляцій 100% по 250 мл у пластикових флаконах</t>
  </si>
  <si>
    <t>Еуфилин-Н 200 р-н для ін. 2% по 5 мл №10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</si>
  <si>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</si>
  <si>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</si>
  <si>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</si>
  <si>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</si>
  <si>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</si>
  <si>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>Вата медична гігроскопічна хір.гіг.100гр н/с Білосніжка</t>
  </si>
  <si>
    <t>Желатину розчин 10%</t>
  </si>
  <si>
    <t>Пластирі медичні тип класичний (на бавовняній основі) 1х500 см "Гранум"</t>
  </si>
  <si>
    <t>Пластирі медичні тип класичний (на бавовняній основі) 2х500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</si>
  <si>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</si>
  <si>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</si>
  <si>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</si>
  <si>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</si>
  <si>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</si>
  <si>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Проявник «Хім Рей» 3л (на 15 р-ну)</t>
  </si>
  <si>
    <t>Рукавички огляд латекс  Medicare ( н/ст з пудрою) р М,L</t>
  </si>
  <si>
    <t>пар</t>
  </si>
  <si>
    <t xml:space="preserve">Рукавички хір латексні Medicare стер р 7,5  (з пудрою) </t>
  </si>
  <si>
    <t>Фіксаж «Хім Рей» 3л (на 15 р-ну)</t>
  </si>
  <si>
    <t>Шприц ін`єкц.однор.викор.20 мл 3-х комп.(0,8*38мм) Medicare</t>
  </si>
  <si>
    <t>Шприц ін`єкц.однор.викор.5мл 3-х комп.(0,7*38мм) Medicare</t>
  </si>
  <si>
    <t>Централізоване постачання (за бюджетні кошти, передбачені МОЗ України  у держбюджеті)</t>
  </si>
  <si>
    <t>Томогексол р-н д/ін 350 мг 100 мл №1</t>
  </si>
  <si>
    <t>Томовіст р-н д/ін 469 мг/мл фл 20 мл №1</t>
  </si>
  <si>
    <t>Томогексол р-н д/ін 350 мг 50 мл №1</t>
  </si>
  <si>
    <t>Гемотран р-н д/ін 50 мг/мл по 5 мл в амп. №10</t>
  </si>
  <si>
    <t>Лефлоцин р-н д/інф 5мг/мл по 100</t>
  </si>
  <si>
    <t>пл</t>
  </si>
  <si>
    <t>Цефтріаксон пор д/р-н д/ін по 1.0 г №1</t>
  </si>
  <si>
    <t>Набір діагностичний для компьютерної томографії</t>
  </si>
  <si>
    <t>Кейвер р-н для ін. 50мг/мл по 2 мл в амп №5</t>
  </si>
  <si>
    <t>Централізоване постачання (за бюджетні кошти, передбачені у обласному бюджеті)</t>
  </si>
  <si>
    <t>ЕНОКСАПАРИН-ФАРМЕКС, розчин для ін"єкцій, 10000 анти-Ха МО/мл, по 0,6 мл (6000 анти-Ха МО) в попередньо наповненому шприці №1 (1х1) у контурній чарунковій упаковці в пачці картонній сер.1520716</t>
  </si>
  <si>
    <t>Гепарин-Индар р-р д/ин. 5000МО/мл 5мл (25000МО) фл. №1*</t>
  </si>
  <si>
    <t>Фраксипарин 0,6 мл №1</t>
  </si>
  <si>
    <r>
      <rPr>
        <sz val="10"/>
        <rFont val="Times New Roman"/>
        <family val="1"/>
      </rPr>
      <t xml:space="preserve">Діаніл ПД4 з вмістом глюкози </t>
    </r>
    <r>
      <rPr>
        <b/>
        <sz val="10"/>
        <rFont val="Arial Narrow"/>
        <family val="2"/>
      </rPr>
      <t>3,86%</t>
    </r>
    <r>
      <rPr>
        <sz val="10"/>
        <rFont val="Arial Narrow"/>
        <family val="2"/>
      </rPr>
      <t xml:space="preserve">, розчин для перитонеального діалізу, </t>
    </r>
    <r>
      <rPr>
        <b/>
        <sz val="10"/>
        <rFont val="Arial Narrow"/>
        <family val="2"/>
      </rPr>
      <t>по 2000 мл</t>
    </r>
    <r>
      <rPr>
        <sz val="10"/>
        <rFont val="Arial Narrow"/>
        <family val="2"/>
      </rPr>
      <t xml:space="preserve"> розчину у мішку подвійному "TwinBag" </t>
    </r>
  </si>
  <si>
    <t xml:space="preserve">Розчин для перитонеального діалізу ДІАНІЛ ПД 4  з вмістом глюкози 1,36%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</si>
  <si>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>Розчин для перитонеального діалізу ДІАНІЛ ПД 4  з вмістом глюкози 2,27%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</t>
  </si>
  <si>
    <t xml:space="preserve">Розчин для перитонеального діалізу ДІАНІЛ ПД 4  з вмістом глюкози 3,86% в мішках подвійних ємністю 5000 мл розчину у мішку "Віафлекс" PL 146-3, одинарному, обладнаному ін"єкційним портом та з"єднувачем,   вкладеному у прозорий пластиковий пакет </t>
  </si>
  <si>
    <t xml:space="preserve">Набір HomeChoice для автоматизованого ПД з касетою, 4 конектора </t>
  </si>
  <si>
    <t xml:space="preserve">Дренажний комплект циклера </t>
  </si>
  <si>
    <t>Ковпачок роз'єднувальний дезінфікуючий MiniCap</t>
  </si>
  <si>
    <t>МИРЦЕРА, р-н д/і 50мкг/0,3 мл №1 Серія: Н0538Н24</t>
  </si>
  <si>
    <t>Аранесп р-н для ін. 100мкг/мл по 0,3 мл у попередньо наповнених шприцах № 1</t>
  </si>
  <si>
    <t>Інші джерела фінансування (гуманітарна допомога, благодійна допопога, тощо доручення)</t>
  </si>
  <si>
    <t>Морфін Калцекс 10 мг/мл 1 мл №5 р-н д/ін. амп.</t>
  </si>
  <si>
    <t>Фентаніл Калцекс 0,05мг/мл 2мл №5 р-н д/ін.</t>
  </si>
  <si>
    <t>Промедол Калцекс 20мг/мл 1мл №5 р-н д/ін. амп.</t>
  </si>
  <si>
    <t>Система для забору крові Vacutest 6 мл красн.</t>
  </si>
  <si>
    <t>Тест система для опериления антител к ВИЛ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</si>
</sst>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0"/>
    <numFmt numFmtId="167" formatCode="@"/>
    <numFmt numFmtId="168" formatCode="#,##0"/>
  </numFmts>
  <fonts count="10">
    <font>
      <sz val="10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30"/>
      <name val="Arial Narrow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3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vertical="center"/>
    </xf>
    <xf numFmtId="164" fontId="5" fillId="2" borderId="2" xfId="0" applyFont="1" applyFill="1" applyBorder="1" applyAlignment="1">
      <alignment horizontal="left" vertical="center" wrapText="1"/>
    </xf>
    <xf numFmtId="164" fontId="5" fillId="2" borderId="2" xfId="0" applyFont="1" applyFill="1" applyBorder="1" applyAlignment="1">
      <alignment horizontal="center" vertical="center"/>
    </xf>
    <xf numFmtId="166" fontId="5" fillId="2" borderId="2" xfId="15" applyNumberFormat="1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Border="1" applyAlignment="1">
      <alignment vertical="center"/>
    </xf>
    <xf numFmtId="167" fontId="5" fillId="2" borderId="2" xfId="0" applyNumberFormat="1" applyFont="1" applyFill="1" applyBorder="1" applyAlignment="1">
      <alignment vertical="center" wrapText="1"/>
    </xf>
    <xf numFmtId="164" fontId="0" fillId="2" borderId="0" xfId="0" applyFont="1" applyFill="1" applyAlignment="1">
      <alignment/>
    </xf>
    <xf numFmtId="164" fontId="5" fillId="2" borderId="2" xfId="0" applyFont="1" applyFill="1" applyBorder="1" applyAlignment="1">
      <alignment vertical="center" wrapText="1"/>
    </xf>
    <xf numFmtId="167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left" vertical="center"/>
    </xf>
    <xf numFmtId="164" fontId="7" fillId="0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center" vertical="center"/>
    </xf>
    <xf numFmtId="166" fontId="7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5" fillId="2" borderId="0" xfId="0" applyFont="1" applyFill="1" applyAlignment="1">
      <alignment vertical="center"/>
    </xf>
    <xf numFmtId="168" fontId="5" fillId="2" borderId="2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left" vertical="center" wrapText="1"/>
    </xf>
    <xf numFmtId="168" fontId="5" fillId="0" borderId="2" xfId="0" applyNumberFormat="1" applyFont="1" applyFill="1" applyBorder="1" applyAlignment="1">
      <alignment horizontal="center" vertical="center"/>
    </xf>
    <xf numFmtId="164" fontId="5" fillId="0" borderId="2" xfId="20" applyFont="1" applyFill="1" applyBorder="1" applyAlignment="1">
      <alignment horizontal="left" vertical="center" wrapText="1"/>
      <protection/>
    </xf>
    <xf numFmtId="164" fontId="5" fillId="0" borderId="2" xfId="0" applyFont="1" applyFill="1" applyBorder="1" applyAlignment="1">
      <alignment vertical="center" wrapText="1"/>
    </xf>
    <xf numFmtId="164" fontId="5" fillId="2" borderId="2" xfId="20" applyFont="1" applyFill="1" applyBorder="1" applyAlignment="1">
      <alignment horizontal="left" vertical="center" wrapText="1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9" fillId="0" borderId="0" xfId="0" applyFont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74"/>
  <sheetViews>
    <sheetView tabSelected="1" zoomScale="140" zoomScaleNormal="140" workbookViewId="0" topLeftCell="A1">
      <selection activeCell="D159" sqref="D159"/>
    </sheetView>
  </sheetViews>
  <sheetFormatPr defaultColWidth="10.28125" defaultRowHeight="12.75"/>
  <cols>
    <col min="1" max="1" width="7.8515625" style="0" customWidth="1"/>
    <col min="2" max="2" width="4.00390625" style="0" customWidth="1"/>
    <col min="3" max="3" width="87.8515625" style="0" customWidth="1"/>
    <col min="4" max="16384" width="11.57421875" style="0" customWidth="1"/>
  </cols>
  <sheetData>
    <row r="1" spans="2:6" ht="42" customHeight="1">
      <c r="B1" s="1" t="s">
        <v>0</v>
      </c>
      <c r="C1" s="1"/>
      <c r="D1" s="1"/>
      <c r="E1" s="1"/>
      <c r="F1" s="1"/>
    </row>
    <row r="2" spans="2:6" ht="12.75">
      <c r="B2" s="2"/>
      <c r="C2" s="2"/>
      <c r="D2" s="2"/>
      <c r="E2" s="2"/>
      <c r="F2" s="2"/>
    </row>
    <row r="3" spans="2:6" ht="12.75" customHeight="1">
      <c r="B3" s="1" t="s">
        <v>1</v>
      </c>
      <c r="C3" s="3" t="s">
        <v>2</v>
      </c>
      <c r="D3" s="1" t="s">
        <v>3</v>
      </c>
      <c r="E3" s="3" t="s">
        <v>4</v>
      </c>
      <c r="F3" s="3"/>
    </row>
    <row r="4" spans="2:6" ht="34.5">
      <c r="B4" s="1"/>
      <c r="C4" s="3"/>
      <c r="D4" s="3"/>
      <c r="E4" s="1" t="s">
        <v>5</v>
      </c>
      <c r="F4" s="1" t="s">
        <v>6</v>
      </c>
    </row>
    <row r="5" spans="2:6" ht="42" customHeight="1">
      <c r="B5" s="4" t="s">
        <v>7</v>
      </c>
      <c r="C5" s="4"/>
      <c r="D5" s="4"/>
      <c r="E5" s="4"/>
      <c r="F5" s="4"/>
    </row>
    <row r="6" spans="2:6" s="5" customFormat="1" ht="27.75" customHeight="1">
      <c r="B6" s="6" t="s">
        <v>8</v>
      </c>
      <c r="C6" s="6"/>
      <c r="D6" s="6"/>
      <c r="E6" s="6"/>
      <c r="F6" s="6"/>
    </row>
    <row r="7" spans="2:6" ht="13.5" customHeight="1">
      <c r="B7" s="7">
        <v>1</v>
      </c>
      <c r="C7" s="8" t="s">
        <v>9</v>
      </c>
      <c r="D7" s="9" t="s">
        <v>10</v>
      </c>
      <c r="E7" s="10">
        <f>15+1+2+2+2+3</f>
        <v>25</v>
      </c>
      <c r="F7" s="11">
        <v>3</v>
      </c>
    </row>
    <row r="8" spans="2:6" ht="13.5" customHeight="1">
      <c r="B8" s="12">
        <v>2</v>
      </c>
      <c r="C8" s="8" t="s">
        <v>11</v>
      </c>
      <c r="D8" s="9" t="s">
        <v>10</v>
      </c>
      <c r="E8" s="10">
        <f>40+1+2+2+3+2+2+1+2</f>
        <v>55</v>
      </c>
      <c r="F8" s="11">
        <v>2</v>
      </c>
    </row>
    <row r="9" spans="2:7" ht="13.5" customHeight="1">
      <c r="B9" s="7">
        <v>3</v>
      </c>
      <c r="C9" s="13" t="s">
        <v>12</v>
      </c>
      <c r="D9" s="9" t="s">
        <v>10</v>
      </c>
      <c r="E9" s="10">
        <f>1+2+1+1</f>
        <v>5</v>
      </c>
      <c r="F9" s="11">
        <v>2</v>
      </c>
      <c r="G9" s="14"/>
    </row>
    <row r="10" spans="2:6" ht="13.5" customHeight="1">
      <c r="B10" s="12">
        <v>4</v>
      </c>
      <c r="C10" s="15" t="s">
        <v>13</v>
      </c>
      <c r="D10" s="9" t="s">
        <v>10</v>
      </c>
      <c r="E10" s="10">
        <f>12+2+1+4+3+5</f>
        <v>27</v>
      </c>
      <c r="F10" s="11">
        <v>5</v>
      </c>
    </row>
    <row r="11" spans="2:6" ht="13.5" customHeight="1">
      <c r="B11" s="7">
        <v>5</v>
      </c>
      <c r="C11" s="13" t="s">
        <v>14</v>
      </c>
      <c r="D11" s="9" t="s">
        <v>10</v>
      </c>
      <c r="E11" s="10">
        <f>2+2+2+2+2</f>
        <v>10</v>
      </c>
      <c r="F11" s="9">
        <v>2</v>
      </c>
    </row>
    <row r="12" spans="2:6" ht="13.5" customHeight="1">
      <c r="B12" s="12">
        <v>6</v>
      </c>
      <c r="C12" s="8" t="s">
        <v>15</v>
      </c>
      <c r="D12" s="9" t="s">
        <v>10</v>
      </c>
      <c r="E12" s="10">
        <f>20+3+3+4</f>
        <v>30</v>
      </c>
      <c r="F12" s="9">
        <v>4</v>
      </c>
    </row>
    <row r="13" spans="2:6" ht="13.5" customHeight="1">
      <c r="B13" s="7">
        <v>7</v>
      </c>
      <c r="C13" s="15" t="s">
        <v>16</v>
      </c>
      <c r="D13" s="9" t="s">
        <v>10</v>
      </c>
      <c r="E13" s="10">
        <f>2+1+1</f>
        <v>4</v>
      </c>
      <c r="F13" s="9">
        <v>1</v>
      </c>
    </row>
    <row r="14" spans="2:6" ht="13.5" customHeight="1">
      <c r="B14" s="12">
        <v>8</v>
      </c>
      <c r="C14" s="15" t="s">
        <v>17</v>
      </c>
      <c r="D14" s="9" t="s">
        <v>10</v>
      </c>
      <c r="E14" s="10">
        <f>120+10+10+5+5+5+5</f>
        <v>160</v>
      </c>
      <c r="F14" s="9">
        <v>5</v>
      </c>
    </row>
    <row r="15" spans="2:6" ht="13.5" customHeight="1">
      <c r="B15" s="7">
        <v>9</v>
      </c>
      <c r="C15" s="15" t="s">
        <v>18</v>
      </c>
      <c r="D15" s="9" t="s">
        <v>19</v>
      </c>
      <c r="E15" s="10">
        <f>120+15+15+20+10+10+10+10</f>
        <v>210</v>
      </c>
      <c r="F15" s="9">
        <v>10</v>
      </c>
    </row>
    <row r="16" spans="2:6" ht="13.5" customHeight="1">
      <c r="B16" s="12">
        <v>10</v>
      </c>
      <c r="C16" s="15" t="s">
        <v>20</v>
      </c>
      <c r="D16" s="9" t="s">
        <v>10</v>
      </c>
      <c r="E16" s="10">
        <f>180+40+42+30+35+35+27+41</f>
        <v>430</v>
      </c>
      <c r="F16" s="9">
        <v>40</v>
      </c>
    </row>
    <row r="17" spans="2:6" ht="13.5" customHeight="1">
      <c r="B17" s="7">
        <v>11</v>
      </c>
      <c r="C17" s="13" t="s">
        <v>21</v>
      </c>
      <c r="D17" s="9" t="s">
        <v>10</v>
      </c>
      <c r="E17" s="10">
        <f>1+1</f>
        <v>2</v>
      </c>
      <c r="F17" s="9">
        <v>1</v>
      </c>
    </row>
    <row r="18" spans="2:6" ht="13.5" customHeight="1">
      <c r="B18" s="12">
        <v>12</v>
      </c>
      <c r="C18" s="8" t="s">
        <v>22</v>
      </c>
      <c r="D18" s="9" t="s">
        <v>10</v>
      </c>
      <c r="E18" s="10">
        <f>4+1+1+1+2+1+2</f>
        <v>12</v>
      </c>
      <c r="F18" s="9">
        <v>2</v>
      </c>
    </row>
    <row r="19" spans="2:6" ht="13.5" customHeight="1">
      <c r="B19" s="7">
        <v>13</v>
      </c>
      <c r="C19" s="15" t="s">
        <v>23</v>
      </c>
      <c r="D19" s="9" t="s">
        <v>10</v>
      </c>
      <c r="E19" s="10">
        <f>20+1+3+2+4</f>
        <v>30</v>
      </c>
      <c r="F19" s="9">
        <v>3</v>
      </c>
    </row>
    <row r="20" spans="2:6" ht="13.5" customHeight="1">
      <c r="B20" s="12">
        <v>14</v>
      </c>
      <c r="C20" s="15" t="s">
        <v>24</v>
      </c>
      <c r="D20" s="9" t="s">
        <v>10</v>
      </c>
      <c r="E20" s="10">
        <f>30+3+3+3+3+3+2+3</f>
        <v>50</v>
      </c>
      <c r="F20" s="9">
        <v>3</v>
      </c>
    </row>
    <row r="21" spans="2:6" ht="13.5" customHeight="1">
      <c r="B21" s="7">
        <v>15</v>
      </c>
      <c r="C21" s="8" t="s">
        <v>25</v>
      </c>
      <c r="D21" s="9" t="s">
        <v>10</v>
      </c>
      <c r="E21" s="10">
        <f>1+1</f>
        <v>2</v>
      </c>
      <c r="F21" s="9">
        <v>1</v>
      </c>
    </row>
    <row r="22" spans="2:6" ht="13.5" customHeight="1">
      <c r="B22" s="12">
        <v>16</v>
      </c>
      <c r="C22" s="8" t="s">
        <v>26</v>
      </c>
      <c r="D22" s="9" t="s">
        <v>19</v>
      </c>
      <c r="E22" s="10">
        <f>30+5+5+7+5+8</f>
        <v>60</v>
      </c>
      <c r="F22" s="9">
        <v>8</v>
      </c>
    </row>
    <row r="23" spans="2:6" ht="13.5" customHeight="1">
      <c r="B23" s="7">
        <v>17</v>
      </c>
      <c r="C23" s="13" t="s">
        <v>27</v>
      </c>
      <c r="D23" s="16" t="s">
        <v>28</v>
      </c>
      <c r="E23" s="17">
        <f>2+4+3+4+7</f>
        <v>20</v>
      </c>
      <c r="F23" s="9">
        <f>4+7</f>
        <v>11</v>
      </c>
    </row>
    <row r="24" spans="2:6" ht="13.5" customHeight="1">
      <c r="B24" s="12">
        <v>18</v>
      </c>
      <c r="C24" s="8" t="s">
        <v>29</v>
      </c>
      <c r="D24" s="9" t="s">
        <v>10</v>
      </c>
      <c r="E24" s="10">
        <f>40+3+3+5+2+3+2+2</f>
        <v>60</v>
      </c>
      <c r="F24" s="18">
        <v>2</v>
      </c>
    </row>
    <row r="25" spans="2:6" ht="13.5" customHeight="1">
      <c r="B25" s="7">
        <v>19</v>
      </c>
      <c r="C25" s="8" t="s">
        <v>30</v>
      </c>
      <c r="D25" s="9" t="s">
        <v>19</v>
      </c>
      <c r="E25" s="10">
        <f>48+8+8+8+9+17</f>
        <v>98</v>
      </c>
      <c r="F25" s="9">
        <v>17</v>
      </c>
    </row>
    <row r="26" spans="2:6" ht="13.5" customHeight="1">
      <c r="B26" s="12">
        <v>20</v>
      </c>
      <c r="C26" s="8" t="s">
        <v>31</v>
      </c>
      <c r="D26" s="9" t="s">
        <v>19</v>
      </c>
      <c r="E26" s="10">
        <f>20+3+4+5+3+5</f>
        <v>40</v>
      </c>
      <c r="F26" s="9">
        <v>5</v>
      </c>
    </row>
    <row r="27" spans="2:6" ht="13.5" customHeight="1">
      <c r="B27" s="7">
        <v>21</v>
      </c>
      <c r="C27" s="13" t="s">
        <v>32</v>
      </c>
      <c r="D27" s="9" t="s">
        <v>19</v>
      </c>
      <c r="E27" s="10">
        <f>8+10+10+9+13</f>
        <v>50</v>
      </c>
      <c r="F27" s="9">
        <v>13</v>
      </c>
    </row>
    <row r="28" spans="2:6" ht="13.5" customHeight="1">
      <c r="B28" s="12">
        <v>22</v>
      </c>
      <c r="C28" s="8" t="s">
        <v>33</v>
      </c>
      <c r="D28" s="9" t="s">
        <v>10</v>
      </c>
      <c r="E28" s="10">
        <f>10+3+2+1+4</f>
        <v>20</v>
      </c>
      <c r="F28" s="9">
        <v>5</v>
      </c>
    </row>
    <row r="29" spans="2:6" ht="13.5" customHeight="1">
      <c r="B29" s="7">
        <v>23</v>
      </c>
      <c r="C29" s="8" t="s">
        <v>34</v>
      </c>
      <c r="D29" s="9" t="s">
        <v>19</v>
      </c>
      <c r="E29" s="10">
        <f>72+30+10+20+25+38+57</f>
        <v>252</v>
      </c>
      <c r="F29" s="9">
        <v>57</v>
      </c>
    </row>
    <row r="30" spans="2:6" ht="13.5" customHeight="1">
      <c r="B30" s="12">
        <v>24</v>
      </c>
      <c r="C30" s="8" t="s">
        <v>35</v>
      </c>
      <c r="D30" s="9" t="s">
        <v>19</v>
      </c>
      <c r="E30" s="10">
        <f>99+30+20+20+60+90</f>
        <v>319</v>
      </c>
      <c r="F30" s="9">
        <v>115</v>
      </c>
    </row>
    <row r="31" spans="2:6" ht="13.5" customHeight="1">
      <c r="B31" s="7">
        <v>25</v>
      </c>
      <c r="C31" s="13" t="s">
        <v>36</v>
      </c>
      <c r="D31" s="9" t="s">
        <v>10</v>
      </c>
      <c r="E31" s="10">
        <f>3+4+3</f>
        <v>10</v>
      </c>
      <c r="F31" s="9">
        <f>4+3</f>
        <v>7</v>
      </c>
    </row>
    <row r="32" spans="2:6" ht="13.5" customHeight="1">
      <c r="B32" s="12">
        <v>26</v>
      </c>
      <c r="C32" s="13" t="s">
        <v>37</v>
      </c>
      <c r="D32" s="9" t="s">
        <v>10</v>
      </c>
      <c r="E32" s="17">
        <f>1+2+4+2+3+3</f>
        <v>15</v>
      </c>
      <c r="F32" s="9">
        <v>3</v>
      </c>
    </row>
    <row r="33" spans="2:6" ht="13.5" customHeight="1">
      <c r="B33" s="7">
        <v>27</v>
      </c>
      <c r="C33" s="15" t="s">
        <v>38</v>
      </c>
      <c r="D33" s="9" t="s">
        <v>10</v>
      </c>
      <c r="E33" s="10">
        <f>100+8+8+10+6+6+5+7</f>
        <v>150</v>
      </c>
      <c r="F33" s="9">
        <v>7</v>
      </c>
    </row>
    <row r="34" spans="2:6" ht="13.5" customHeight="1">
      <c r="B34" s="12">
        <v>28</v>
      </c>
      <c r="C34" s="19" t="s">
        <v>39</v>
      </c>
      <c r="D34" s="9" t="s">
        <v>40</v>
      </c>
      <c r="E34" s="10">
        <f>34+26+64+5+22+5+30+20+39+10+5+69+31+61+10+33+24</f>
        <v>488</v>
      </c>
      <c r="F34" s="9">
        <v>19</v>
      </c>
    </row>
    <row r="35" spans="2:6" ht="13.5" customHeight="1">
      <c r="B35" s="7">
        <v>29</v>
      </c>
      <c r="C35" s="19" t="s">
        <v>41</v>
      </c>
      <c r="D35" s="9" t="s">
        <v>10</v>
      </c>
      <c r="E35" s="10">
        <f>1+1</f>
        <v>2</v>
      </c>
      <c r="F35" s="9">
        <v>1</v>
      </c>
    </row>
    <row r="36" spans="2:6" ht="13.5" customHeight="1">
      <c r="B36" s="12">
        <v>30</v>
      </c>
      <c r="C36" s="13" t="s">
        <v>42</v>
      </c>
      <c r="D36" s="9" t="s">
        <v>10</v>
      </c>
      <c r="E36" s="10">
        <f>2+2+3+3+2+4</f>
        <v>16</v>
      </c>
      <c r="F36" s="9">
        <v>4</v>
      </c>
    </row>
    <row r="37" spans="2:6" ht="13.5" customHeight="1">
      <c r="B37" s="7">
        <v>31</v>
      </c>
      <c r="C37" s="13" t="s">
        <v>43</v>
      </c>
      <c r="D37" s="9" t="s">
        <v>10</v>
      </c>
      <c r="E37" s="17">
        <f>12+12+15+9+9+7+11</f>
        <v>75</v>
      </c>
      <c r="F37" s="9">
        <v>11</v>
      </c>
    </row>
    <row r="38" spans="2:6" ht="13.5" customHeight="1">
      <c r="B38" s="12">
        <v>32</v>
      </c>
      <c r="C38" s="8" t="s">
        <v>44</v>
      </c>
      <c r="D38" s="9" t="s">
        <v>19</v>
      </c>
      <c r="E38" s="10">
        <f aca="true" t="shared" si="0" ref="E38:E39">2+1+1</f>
        <v>4</v>
      </c>
      <c r="F38" s="9">
        <v>1</v>
      </c>
    </row>
    <row r="39" spans="2:6" ht="13.5" customHeight="1">
      <c r="B39" s="7">
        <v>33</v>
      </c>
      <c r="C39" s="15" t="s">
        <v>45</v>
      </c>
      <c r="D39" s="9" t="s">
        <v>10</v>
      </c>
      <c r="E39" s="10">
        <f t="shared" si="0"/>
        <v>4</v>
      </c>
      <c r="F39" s="9">
        <v>1</v>
      </c>
    </row>
    <row r="40" spans="2:6" ht="13.5" customHeight="1">
      <c r="B40" s="12">
        <v>34</v>
      </c>
      <c r="C40" s="8" t="s">
        <v>46</v>
      </c>
      <c r="D40" s="9" t="s">
        <v>10</v>
      </c>
      <c r="E40" s="10">
        <f>100+11+5+6+10+8+9+7+10</f>
        <v>166</v>
      </c>
      <c r="F40" s="9">
        <v>10</v>
      </c>
    </row>
    <row r="41" spans="2:6" ht="13.5" customHeight="1">
      <c r="B41" s="7">
        <v>35</v>
      </c>
      <c r="C41" s="13" t="s">
        <v>47</v>
      </c>
      <c r="D41" s="9" t="s">
        <v>10</v>
      </c>
      <c r="E41" s="17">
        <f>8+8+9+8+7+10</f>
        <v>50</v>
      </c>
      <c r="F41" s="9">
        <v>12</v>
      </c>
    </row>
    <row r="42" spans="2:6" ht="13.5" customHeight="1">
      <c r="B42" s="12">
        <v>36</v>
      </c>
      <c r="C42" s="13" t="s">
        <v>48</v>
      </c>
      <c r="D42" s="9" t="s">
        <v>19</v>
      </c>
      <c r="E42" s="10">
        <f>2+2+3+3+5</f>
        <v>15</v>
      </c>
      <c r="F42" s="9">
        <v>7</v>
      </c>
    </row>
    <row r="43" spans="2:6" ht="13.5" customHeight="1">
      <c r="B43" s="7">
        <v>37</v>
      </c>
      <c r="C43" s="15" t="s">
        <v>49</v>
      </c>
      <c r="D43" s="9" t="s">
        <v>19</v>
      </c>
      <c r="E43" s="10">
        <f>10+11+11+11+11+10+10+10+7+12</f>
        <v>103</v>
      </c>
      <c r="F43" s="9">
        <v>0</v>
      </c>
    </row>
    <row r="44" spans="2:6" ht="13.5" customHeight="1">
      <c r="B44" s="12">
        <v>38</v>
      </c>
      <c r="C44" s="8" t="s">
        <v>50</v>
      </c>
      <c r="D44" s="9" t="s">
        <v>19</v>
      </c>
      <c r="E44" s="10">
        <f>40+8+8+9+8+10</f>
        <v>83</v>
      </c>
      <c r="F44" s="9">
        <v>10</v>
      </c>
    </row>
    <row r="45" spans="2:6" ht="13.5" customHeight="1">
      <c r="B45" s="7">
        <v>39</v>
      </c>
      <c r="C45" s="13" t="s">
        <v>51</v>
      </c>
      <c r="D45" s="9" t="s">
        <v>10</v>
      </c>
      <c r="E45" s="10">
        <f>2+4+4+5</f>
        <v>15</v>
      </c>
      <c r="F45" s="9">
        <v>14</v>
      </c>
    </row>
    <row r="46" spans="2:6" ht="13.5" customHeight="1">
      <c r="B46" s="12">
        <v>40</v>
      </c>
      <c r="C46" s="8" t="s">
        <v>52</v>
      </c>
      <c r="D46" s="9" t="s">
        <v>10</v>
      </c>
      <c r="E46" s="10">
        <v>87</v>
      </c>
      <c r="F46" s="9">
        <v>0</v>
      </c>
    </row>
    <row r="47" spans="2:6" ht="13.5" customHeight="1">
      <c r="B47" s="7">
        <v>41</v>
      </c>
      <c r="C47" s="8" t="s">
        <v>53</v>
      </c>
      <c r="D47" s="9" t="s">
        <v>10</v>
      </c>
      <c r="E47" s="10">
        <f>115+25+5+28+19+8+12+12+16+9+13</f>
        <v>262</v>
      </c>
      <c r="F47" s="9">
        <v>11</v>
      </c>
    </row>
    <row r="48" spans="2:6" ht="13.5" customHeight="1">
      <c r="B48" s="12">
        <v>42</v>
      </c>
      <c r="C48" s="8" t="s">
        <v>54</v>
      </c>
      <c r="D48" s="9" t="s">
        <v>10</v>
      </c>
      <c r="E48" s="10">
        <f>8+5+7</f>
        <v>20</v>
      </c>
      <c r="F48" s="9">
        <v>15</v>
      </c>
    </row>
    <row r="49" spans="2:6" ht="13.5" customHeight="1">
      <c r="B49" s="7">
        <v>43</v>
      </c>
      <c r="C49" s="13" t="s">
        <v>55</v>
      </c>
      <c r="D49" s="9" t="s">
        <v>10</v>
      </c>
      <c r="E49" s="17">
        <f>3+3+3+3+3+2+3</f>
        <v>20</v>
      </c>
      <c r="F49" s="9">
        <v>3</v>
      </c>
    </row>
    <row r="50" spans="2:6" ht="13.5" customHeight="1">
      <c r="B50" s="12">
        <v>44</v>
      </c>
      <c r="C50" s="13" t="s">
        <v>56</v>
      </c>
      <c r="D50" s="9" t="s">
        <v>10</v>
      </c>
      <c r="E50" s="10">
        <f aca="true" t="shared" si="1" ref="E50:E51">1+1</f>
        <v>2</v>
      </c>
      <c r="F50" s="9">
        <v>1</v>
      </c>
    </row>
    <row r="51" spans="2:6" ht="13.5" customHeight="1">
      <c r="B51" s="7">
        <v>45</v>
      </c>
      <c r="C51" s="13" t="s">
        <v>57</v>
      </c>
      <c r="D51" s="9" t="s">
        <v>10</v>
      </c>
      <c r="E51" s="10">
        <f t="shared" si="1"/>
        <v>2</v>
      </c>
      <c r="F51" s="9">
        <v>1</v>
      </c>
    </row>
    <row r="52" spans="2:6" ht="13.5" customHeight="1">
      <c r="B52" s="12">
        <v>46</v>
      </c>
      <c r="C52" s="13" t="s">
        <v>58</v>
      </c>
      <c r="D52" s="9" t="s">
        <v>19</v>
      </c>
      <c r="E52" s="10">
        <v>3</v>
      </c>
      <c r="F52" s="9">
        <v>3</v>
      </c>
    </row>
    <row r="53" spans="2:6" ht="13.5" customHeight="1">
      <c r="B53" s="7">
        <v>47</v>
      </c>
      <c r="C53" s="8" t="s">
        <v>59</v>
      </c>
      <c r="D53" s="9" t="s">
        <v>10</v>
      </c>
      <c r="E53" s="10">
        <f>20+3+3+5+4+5</f>
        <v>40</v>
      </c>
      <c r="F53" s="9">
        <v>5</v>
      </c>
    </row>
    <row r="54" spans="2:6" ht="13.5" customHeight="1">
      <c r="B54" s="12">
        <v>48</v>
      </c>
      <c r="C54" s="8" t="s">
        <v>60</v>
      </c>
      <c r="D54" s="9" t="s">
        <v>10</v>
      </c>
      <c r="E54" s="10">
        <f>8+7+10</f>
        <v>25</v>
      </c>
      <c r="F54" s="9">
        <v>27</v>
      </c>
    </row>
    <row r="55" spans="2:6" ht="13.5" customHeight="1">
      <c r="B55" s="7">
        <v>49</v>
      </c>
      <c r="C55" s="8" t="s">
        <v>61</v>
      </c>
      <c r="D55" s="9" t="s">
        <v>10</v>
      </c>
      <c r="E55" s="10">
        <f>2+5+1+1</f>
        <v>9</v>
      </c>
      <c r="F55" s="9">
        <v>2</v>
      </c>
    </row>
    <row r="56" spans="2:6" ht="13.5" customHeight="1">
      <c r="B56" s="12">
        <v>50</v>
      </c>
      <c r="C56" s="15" t="s">
        <v>62</v>
      </c>
      <c r="D56" s="9" t="s">
        <v>10</v>
      </c>
      <c r="E56" s="10">
        <f>9+1+1+1</f>
        <v>12</v>
      </c>
      <c r="F56" s="9">
        <v>0</v>
      </c>
    </row>
    <row r="57" spans="2:6" ht="27.75" customHeight="1">
      <c r="B57" s="7">
        <v>51</v>
      </c>
      <c r="C57" s="13" t="s">
        <v>63</v>
      </c>
      <c r="D57" s="9" t="s">
        <v>10</v>
      </c>
      <c r="E57" s="10">
        <f>1+1+1+1+1</f>
        <v>5</v>
      </c>
      <c r="F57" s="9">
        <v>1</v>
      </c>
    </row>
    <row r="58" spans="2:6" ht="13.5" customHeight="1">
      <c r="B58" s="12">
        <v>52</v>
      </c>
      <c r="C58" s="13" t="s">
        <v>64</v>
      </c>
      <c r="D58" s="9" t="s">
        <v>10</v>
      </c>
      <c r="E58" s="17">
        <f>5+8+12+5+11+12+9+13</f>
        <v>75</v>
      </c>
      <c r="F58" s="9">
        <v>12</v>
      </c>
    </row>
    <row r="59" spans="2:6" ht="13.5" customHeight="1">
      <c r="B59" s="7">
        <v>53</v>
      </c>
      <c r="C59" s="13" t="s">
        <v>65</v>
      </c>
      <c r="D59" s="16" t="s">
        <v>19</v>
      </c>
      <c r="E59" s="17">
        <v>1</v>
      </c>
      <c r="F59" s="9">
        <v>1</v>
      </c>
    </row>
    <row r="60" spans="2:6" ht="13.5" customHeight="1">
      <c r="B60" s="12">
        <v>54</v>
      </c>
      <c r="C60" s="13" t="s">
        <v>66</v>
      </c>
      <c r="D60" s="9" t="s">
        <v>10</v>
      </c>
      <c r="E60" s="10">
        <f>1+1+2+2+2+2</f>
        <v>10</v>
      </c>
      <c r="F60" s="9">
        <v>2</v>
      </c>
    </row>
    <row r="61" spans="2:6" ht="13.5" customHeight="1">
      <c r="B61" s="7">
        <v>55</v>
      </c>
      <c r="C61" s="13" t="s">
        <v>67</v>
      </c>
      <c r="D61" s="9" t="s">
        <v>10</v>
      </c>
      <c r="E61" s="10">
        <f>30+10+30+45+34+51</f>
        <v>200</v>
      </c>
      <c r="F61" s="9">
        <v>77</v>
      </c>
    </row>
    <row r="62" spans="2:6" ht="13.5" customHeight="1">
      <c r="B62" s="12">
        <v>56</v>
      </c>
      <c r="C62" s="8" t="s">
        <v>68</v>
      </c>
      <c r="D62" s="9" t="s">
        <v>19</v>
      </c>
      <c r="E62" s="10">
        <f>6+1+1+2+2+4</f>
        <v>16</v>
      </c>
      <c r="F62" s="9">
        <v>4</v>
      </c>
    </row>
    <row r="63" spans="2:6" ht="13.5" customHeight="1">
      <c r="B63" s="7">
        <v>57</v>
      </c>
      <c r="C63" s="8" t="s">
        <v>69</v>
      </c>
      <c r="D63" s="9" t="s">
        <v>10</v>
      </c>
      <c r="E63" s="10">
        <f>20+1+1+1+1+1</f>
        <v>25</v>
      </c>
      <c r="F63" s="9">
        <v>2.5</v>
      </c>
    </row>
    <row r="64" spans="2:6" ht="13.5" customHeight="1">
      <c r="B64" s="12">
        <v>58</v>
      </c>
      <c r="C64" s="8" t="s">
        <v>70</v>
      </c>
      <c r="D64" s="9" t="s">
        <v>10</v>
      </c>
      <c r="E64" s="10">
        <f>5+2+1</f>
        <v>8</v>
      </c>
      <c r="F64" s="9">
        <v>5</v>
      </c>
    </row>
    <row r="65" spans="2:6" ht="13.5" customHeight="1">
      <c r="B65" s="7">
        <v>59</v>
      </c>
      <c r="C65" s="8" t="s">
        <v>71</v>
      </c>
      <c r="D65" s="9" t="s">
        <v>10</v>
      </c>
      <c r="E65" s="10">
        <f>18+1+1+1</f>
        <v>21</v>
      </c>
      <c r="F65" s="9">
        <v>1</v>
      </c>
    </row>
    <row r="66" spans="2:6" ht="13.5" customHeight="1">
      <c r="B66" s="12">
        <v>60</v>
      </c>
      <c r="C66" s="15" t="s">
        <v>72</v>
      </c>
      <c r="D66" s="9" t="s">
        <v>10</v>
      </c>
      <c r="E66" s="10">
        <f>80+8+8+5+7+7+6+9</f>
        <v>130</v>
      </c>
      <c r="F66" s="9">
        <v>10</v>
      </c>
    </row>
    <row r="67" spans="2:6" ht="13.5" customHeight="1">
      <c r="B67" s="7">
        <v>61</v>
      </c>
      <c r="C67" s="8" t="s">
        <v>73</v>
      </c>
      <c r="D67" s="9" t="s">
        <v>10</v>
      </c>
      <c r="E67" s="10">
        <f>30+2+3+5+5+5+4+6</f>
        <v>60</v>
      </c>
      <c r="F67" s="9">
        <v>4</v>
      </c>
    </row>
    <row r="68" spans="2:6" ht="13.5" customHeight="1">
      <c r="B68" s="12">
        <v>62</v>
      </c>
      <c r="C68" s="15" t="s">
        <v>74</v>
      </c>
      <c r="D68" s="9" t="s">
        <v>19</v>
      </c>
      <c r="E68" s="10">
        <f>232+17+10+20+16+24</f>
        <v>319</v>
      </c>
      <c r="F68" s="9">
        <v>24</v>
      </c>
    </row>
    <row r="69" spans="2:6" ht="13.5" customHeight="1">
      <c r="B69" s="7">
        <v>63</v>
      </c>
      <c r="C69" s="8" t="s">
        <v>75</v>
      </c>
      <c r="D69" s="9" t="s">
        <v>10</v>
      </c>
      <c r="E69" s="10">
        <f>18+2+1+2</f>
        <v>23</v>
      </c>
      <c r="F69" s="9">
        <v>2</v>
      </c>
    </row>
    <row r="70" spans="2:6" ht="13.5" customHeight="1">
      <c r="B70" s="12">
        <v>64</v>
      </c>
      <c r="C70" s="8" t="s">
        <v>76</v>
      </c>
      <c r="D70" s="9" t="s">
        <v>40</v>
      </c>
      <c r="E70" s="10">
        <f>6+17+10+1+3+7+10+12+23+17+37+5+6+2+6</f>
        <v>162</v>
      </c>
      <c r="F70" s="9">
        <v>6.8</v>
      </c>
    </row>
    <row r="71" spans="2:6" ht="13.5" customHeight="1">
      <c r="B71" s="7">
        <v>65</v>
      </c>
      <c r="C71" s="8" t="s">
        <v>77</v>
      </c>
      <c r="D71" s="9" t="s">
        <v>10</v>
      </c>
      <c r="E71" s="10">
        <f>40+2+2+4+3+4</f>
        <v>55</v>
      </c>
      <c r="F71" s="9">
        <v>4</v>
      </c>
    </row>
    <row r="72" spans="2:6" ht="13.5" customHeight="1">
      <c r="B72" s="12">
        <v>66</v>
      </c>
      <c r="C72" s="8" t="s">
        <v>78</v>
      </c>
      <c r="D72" s="9" t="s">
        <v>19</v>
      </c>
      <c r="E72" s="10">
        <f>30+3</f>
        <v>33</v>
      </c>
      <c r="F72" s="9">
        <v>3</v>
      </c>
    </row>
    <row r="73" spans="2:6" ht="13.5" customHeight="1">
      <c r="B73" s="7">
        <v>67</v>
      </c>
      <c r="C73" s="8" t="s">
        <v>79</v>
      </c>
      <c r="D73" s="9" t="s">
        <v>19</v>
      </c>
      <c r="E73" s="10">
        <f>600+150+180+330+250+500+150+150+116+174</f>
        <v>2600</v>
      </c>
      <c r="F73" s="9">
        <v>174</v>
      </c>
    </row>
    <row r="74" spans="2:6" ht="13.5" customHeight="1">
      <c r="B74" s="12">
        <v>68</v>
      </c>
      <c r="C74" s="15" t="s">
        <v>80</v>
      </c>
      <c r="D74" s="9" t="s">
        <v>10</v>
      </c>
      <c r="E74" s="10">
        <f>1+1+1</f>
        <v>3</v>
      </c>
      <c r="F74" s="9">
        <v>6</v>
      </c>
    </row>
    <row r="75" spans="2:6" ht="13.5" customHeight="1">
      <c r="B75" s="7">
        <v>69</v>
      </c>
      <c r="C75" s="20" t="s">
        <v>81</v>
      </c>
      <c r="D75" s="21" t="s">
        <v>40</v>
      </c>
      <c r="E75" s="22">
        <f>25+43+52+10+11+21+30+54+20+40+5+35+18+25+17</f>
        <v>406</v>
      </c>
      <c r="F75" s="21">
        <v>19</v>
      </c>
    </row>
    <row r="76" spans="2:6" ht="13.5" customHeight="1">
      <c r="B76" s="12">
        <v>70</v>
      </c>
      <c r="C76" s="13" t="s">
        <v>82</v>
      </c>
      <c r="D76" s="9" t="s">
        <v>19</v>
      </c>
      <c r="E76" s="17">
        <f>100+230+5+325+250+300+200+200+156+228+6</f>
        <v>2000</v>
      </c>
      <c r="F76" s="9">
        <v>245</v>
      </c>
    </row>
    <row r="77" spans="2:6" ht="13.5" customHeight="1">
      <c r="B77" s="7">
        <v>71</v>
      </c>
      <c r="C77" s="8" t="s">
        <v>83</v>
      </c>
      <c r="D77" s="9" t="s">
        <v>10</v>
      </c>
      <c r="E77" s="10">
        <f>2+1+1</f>
        <v>4</v>
      </c>
      <c r="F77" s="9">
        <v>1.4</v>
      </c>
    </row>
    <row r="78" spans="2:6" ht="13.5" customHeight="1">
      <c r="B78" s="12">
        <v>72</v>
      </c>
      <c r="C78" s="15" t="s">
        <v>84</v>
      </c>
      <c r="D78" s="9" t="s">
        <v>10</v>
      </c>
      <c r="E78" s="10">
        <f>100+8+8+8+9+7+10</f>
        <v>150</v>
      </c>
      <c r="F78" s="9">
        <v>13</v>
      </c>
    </row>
    <row r="79" spans="2:6" ht="13.5" customHeight="1">
      <c r="B79" s="7">
        <v>73</v>
      </c>
      <c r="C79" s="15" t="s">
        <v>85</v>
      </c>
      <c r="D79" s="9" t="s">
        <v>19</v>
      </c>
      <c r="E79" s="10">
        <f>80+16+20+22+17+25</f>
        <v>180</v>
      </c>
      <c r="F79" s="9">
        <v>25</v>
      </c>
    </row>
    <row r="80" spans="2:6" ht="13.5" customHeight="1">
      <c r="B80" s="12">
        <v>74</v>
      </c>
      <c r="C80" s="13" t="s">
        <v>86</v>
      </c>
      <c r="D80" s="9" t="s">
        <v>10</v>
      </c>
      <c r="E80" s="10">
        <f>1+1</f>
        <v>2</v>
      </c>
      <c r="F80" s="9">
        <v>1</v>
      </c>
    </row>
    <row r="81" spans="2:6" ht="13.5" customHeight="1">
      <c r="B81" s="7">
        <v>75</v>
      </c>
      <c r="C81" s="15" t="s">
        <v>87</v>
      </c>
      <c r="D81" s="9" t="s">
        <v>10</v>
      </c>
      <c r="E81" s="10">
        <f>6+1+1+1+1+1</f>
        <v>11</v>
      </c>
      <c r="F81" s="9">
        <v>1</v>
      </c>
    </row>
    <row r="82" spans="2:6" ht="27.75" customHeight="1">
      <c r="B82" s="12">
        <v>76</v>
      </c>
      <c r="C82" s="13" t="s">
        <v>88</v>
      </c>
      <c r="D82" s="9" t="s">
        <v>10</v>
      </c>
      <c r="E82" s="10">
        <f>12+12+10+10+10+8+13</f>
        <v>75</v>
      </c>
      <c r="F82" s="9">
        <v>13</v>
      </c>
    </row>
    <row r="83" spans="2:6" ht="13.5" customHeight="1">
      <c r="B83" s="7">
        <v>77</v>
      </c>
      <c r="C83" s="15" t="s">
        <v>89</v>
      </c>
      <c r="D83" s="9" t="s">
        <v>10</v>
      </c>
      <c r="E83" s="10">
        <f>1+1</f>
        <v>2</v>
      </c>
      <c r="F83" s="9">
        <v>1</v>
      </c>
    </row>
    <row r="84" spans="2:6" ht="13.5" customHeight="1">
      <c r="B84" s="12">
        <v>78</v>
      </c>
      <c r="C84" s="13" t="s">
        <v>90</v>
      </c>
      <c r="D84" s="9" t="s">
        <v>10</v>
      </c>
      <c r="E84" s="10">
        <f>1+1+1</f>
        <v>3</v>
      </c>
      <c r="F84" s="9">
        <v>1</v>
      </c>
    </row>
    <row r="85" spans="2:6" ht="13.5" customHeight="1">
      <c r="B85" s="7">
        <v>79</v>
      </c>
      <c r="C85" s="7" t="s">
        <v>91</v>
      </c>
      <c r="D85" s="9" t="s">
        <v>10</v>
      </c>
      <c r="E85" s="10">
        <f>1+1</f>
        <v>2</v>
      </c>
      <c r="F85" s="9">
        <v>2</v>
      </c>
    </row>
    <row r="86" spans="2:6" ht="13.5" customHeight="1">
      <c r="B86" s="12">
        <v>80</v>
      </c>
      <c r="C86" s="15" t="s">
        <v>92</v>
      </c>
      <c r="D86" s="9" t="s">
        <v>19</v>
      </c>
      <c r="E86" s="10">
        <f>20+2+2+3</f>
        <v>27</v>
      </c>
      <c r="F86" s="9">
        <v>3</v>
      </c>
    </row>
    <row r="87" spans="2:6" ht="13.5" customHeight="1">
      <c r="B87" s="7">
        <v>81</v>
      </c>
      <c r="C87" s="13" t="s">
        <v>93</v>
      </c>
      <c r="D87" s="9" t="s">
        <v>10</v>
      </c>
      <c r="E87" s="10">
        <f>1+2+2+2+3</f>
        <v>10</v>
      </c>
      <c r="F87" s="9">
        <v>3</v>
      </c>
    </row>
    <row r="88" spans="2:6" ht="13.5" customHeight="1">
      <c r="B88" s="12">
        <v>82</v>
      </c>
      <c r="C88" s="15" t="s">
        <v>94</v>
      </c>
      <c r="D88" s="9" t="s">
        <v>10</v>
      </c>
      <c r="E88" s="10">
        <f>5+1+1+1</f>
        <v>8</v>
      </c>
      <c r="F88" s="9">
        <v>3</v>
      </c>
    </row>
    <row r="89" spans="2:6" ht="13.5" customHeight="1">
      <c r="B89" s="7">
        <v>83</v>
      </c>
      <c r="C89" s="13" t="s">
        <v>95</v>
      </c>
      <c r="D89" s="16" t="s">
        <v>96</v>
      </c>
      <c r="E89" s="17">
        <f>4+5+5+3+2+2+4</f>
        <v>25</v>
      </c>
      <c r="F89" s="9">
        <v>4</v>
      </c>
    </row>
    <row r="90" spans="2:6" ht="13.5" customHeight="1">
      <c r="B90" s="12">
        <v>84</v>
      </c>
      <c r="C90" s="15" t="s">
        <v>97</v>
      </c>
      <c r="D90" s="9" t="s">
        <v>19</v>
      </c>
      <c r="E90" s="10">
        <f>38+38+38+38+38+20+20+20+30+42</f>
        <v>322</v>
      </c>
      <c r="F90" s="9">
        <v>0</v>
      </c>
    </row>
    <row r="91" spans="2:6" ht="27.75" customHeight="1">
      <c r="B91" s="7">
        <v>85</v>
      </c>
      <c r="C91" s="13" t="s">
        <v>98</v>
      </c>
      <c r="D91" s="16" t="s">
        <v>10</v>
      </c>
      <c r="E91" s="17">
        <f>5+7+12+10+10+10+21</f>
        <v>75</v>
      </c>
      <c r="F91" s="9">
        <v>18</v>
      </c>
    </row>
    <row r="92" spans="2:6" ht="13.5" customHeight="1">
      <c r="B92" s="12">
        <v>86</v>
      </c>
      <c r="C92" s="13" t="s">
        <v>99</v>
      </c>
      <c r="D92" s="9" t="s">
        <v>10</v>
      </c>
      <c r="E92" s="10">
        <f>3+3+6+2+2+2+2</f>
        <v>20</v>
      </c>
      <c r="F92" s="9">
        <v>2</v>
      </c>
    </row>
    <row r="93" spans="2:6" ht="13.5" customHeight="1">
      <c r="B93" s="7">
        <v>87</v>
      </c>
      <c r="C93" s="8" t="s">
        <v>100</v>
      </c>
      <c r="D93" s="9" t="s">
        <v>40</v>
      </c>
      <c r="E93" s="10">
        <f>22+12+4+8+16+10+11+6+12+7+7+10+17+5+5</f>
        <v>152</v>
      </c>
      <c r="F93" s="9">
        <v>4</v>
      </c>
    </row>
    <row r="94" spans="2:6" ht="13.5" customHeight="1">
      <c r="B94" s="12">
        <v>88</v>
      </c>
      <c r="C94" s="13" t="s">
        <v>101</v>
      </c>
      <c r="D94" s="9" t="s">
        <v>10</v>
      </c>
      <c r="E94" s="10">
        <f>21+8+6+10</f>
        <v>45</v>
      </c>
      <c r="F94" s="9">
        <v>10</v>
      </c>
    </row>
    <row r="95" spans="2:6" ht="13.5" customHeight="1">
      <c r="B95" s="7">
        <v>89</v>
      </c>
      <c r="C95" s="15" t="s">
        <v>102</v>
      </c>
      <c r="D95" s="9" t="s">
        <v>10</v>
      </c>
      <c r="E95" s="10">
        <f>6+6+5+8</f>
        <v>25</v>
      </c>
      <c r="F95" s="9">
        <v>8</v>
      </c>
    </row>
    <row r="96" spans="2:6" ht="13.5" customHeight="1">
      <c r="B96" s="12">
        <v>90</v>
      </c>
      <c r="C96" s="15" t="s">
        <v>103</v>
      </c>
      <c r="D96" s="9" t="s">
        <v>10</v>
      </c>
      <c r="E96" s="10">
        <f>20+3+2+3+3+4</f>
        <v>35</v>
      </c>
      <c r="F96" s="9">
        <v>6</v>
      </c>
    </row>
    <row r="97" spans="2:6" ht="13.5" customHeight="1">
      <c r="B97" s="7">
        <v>91</v>
      </c>
      <c r="C97" s="13" t="s">
        <v>104</v>
      </c>
      <c r="D97" s="9" t="s">
        <v>10</v>
      </c>
      <c r="E97" s="10">
        <f>1+1</f>
        <v>2</v>
      </c>
      <c r="F97" s="9">
        <v>1</v>
      </c>
    </row>
    <row r="98" spans="2:6" ht="13.5" customHeight="1">
      <c r="B98" s="12">
        <v>92</v>
      </c>
      <c r="C98" s="13" t="s">
        <v>105</v>
      </c>
      <c r="D98" s="9" t="s">
        <v>19</v>
      </c>
      <c r="E98" s="17">
        <f>2+4+3+4</f>
        <v>13</v>
      </c>
      <c r="F98" s="9">
        <v>4</v>
      </c>
    </row>
    <row r="99" spans="2:6" ht="13.5" customHeight="1">
      <c r="B99" s="7">
        <v>93</v>
      </c>
      <c r="C99" s="13" t="s">
        <v>106</v>
      </c>
      <c r="D99" s="9" t="s">
        <v>19</v>
      </c>
      <c r="E99" s="17">
        <f>2+2+3</f>
        <v>7</v>
      </c>
      <c r="F99" s="9">
        <v>3</v>
      </c>
    </row>
    <row r="100" spans="2:6" ht="13.5" customHeight="1">
      <c r="B100" s="12">
        <v>94</v>
      </c>
      <c r="C100" s="8" t="s">
        <v>107</v>
      </c>
      <c r="D100" s="9" t="s">
        <v>10</v>
      </c>
      <c r="E100" s="10">
        <f>22+3+3+3+4</f>
        <v>35</v>
      </c>
      <c r="F100" s="9">
        <v>4</v>
      </c>
    </row>
    <row r="101" spans="2:6" ht="13.5" customHeight="1">
      <c r="B101" s="7">
        <v>95</v>
      </c>
      <c r="C101" s="8" t="s">
        <v>108</v>
      </c>
      <c r="D101" s="9" t="s">
        <v>19</v>
      </c>
      <c r="E101" s="10">
        <f>120+6+75+83+36+50+85+66+50+49</f>
        <v>620</v>
      </c>
      <c r="F101" s="9">
        <f>50+49</f>
        <v>99</v>
      </c>
    </row>
    <row r="102" spans="2:6" ht="13.5" customHeight="1">
      <c r="B102" s="12">
        <v>96</v>
      </c>
      <c r="C102" s="13" t="s">
        <v>109</v>
      </c>
      <c r="D102" s="9" t="s">
        <v>19</v>
      </c>
      <c r="E102" s="17">
        <f>10+14+10</f>
        <v>34</v>
      </c>
      <c r="F102" s="9">
        <v>19</v>
      </c>
    </row>
    <row r="103" spans="2:6" ht="13.5" customHeight="1">
      <c r="B103" s="7">
        <v>97</v>
      </c>
      <c r="C103" s="13" t="s">
        <v>110</v>
      </c>
      <c r="D103" s="9" t="s">
        <v>19</v>
      </c>
      <c r="E103" s="17">
        <f>14+10</f>
        <v>24</v>
      </c>
      <c r="F103" s="9">
        <v>19</v>
      </c>
    </row>
    <row r="104" spans="2:6" ht="13.5" customHeight="1">
      <c r="B104" s="12">
        <v>98</v>
      </c>
      <c r="C104" s="13" t="s">
        <v>111</v>
      </c>
      <c r="D104" s="16" t="s">
        <v>10</v>
      </c>
      <c r="E104" s="17">
        <f>1+1</f>
        <v>2</v>
      </c>
      <c r="F104" s="9">
        <f>1+1</f>
        <v>2</v>
      </c>
    </row>
    <row r="105" spans="2:6" ht="13.5" customHeight="1">
      <c r="B105" s="7">
        <v>99</v>
      </c>
      <c r="C105" s="8" t="s">
        <v>112</v>
      </c>
      <c r="D105" s="9" t="s">
        <v>19</v>
      </c>
      <c r="E105" s="10">
        <f>742+1500+600+300+120+238</f>
        <v>3500</v>
      </c>
      <c r="F105" s="9">
        <v>830</v>
      </c>
    </row>
    <row r="106" spans="2:6" ht="13.5" customHeight="1">
      <c r="B106" s="12">
        <v>100</v>
      </c>
      <c r="C106" s="8" t="s">
        <v>113</v>
      </c>
      <c r="D106" s="9" t="s">
        <v>10</v>
      </c>
      <c r="E106" s="10">
        <f>60+5+8+13+13+14+11+16</f>
        <v>140</v>
      </c>
      <c r="F106" s="9">
        <v>13</v>
      </c>
    </row>
    <row r="107" spans="2:6" ht="13.5" customHeight="1">
      <c r="B107" s="7">
        <v>101</v>
      </c>
      <c r="C107" s="8" t="s">
        <v>114</v>
      </c>
      <c r="D107" s="9" t="s">
        <v>10</v>
      </c>
      <c r="E107" s="10">
        <f>6+1+1</f>
        <v>8</v>
      </c>
      <c r="F107" s="9">
        <v>2</v>
      </c>
    </row>
    <row r="108" spans="2:6" ht="13.5" customHeight="1">
      <c r="B108" s="12">
        <v>102</v>
      </c>
      <c r="C108" s="13" t="s">
        <v>115</v>
      </c>
      <c r="D108" s="9" t="s">
        <v>10</v>
      </c>
      <c r="E108" s="10">
        <f>3+6+4+7</f>
        <v>20</v>
      </c>
      <c r="F108" s="9">
        <v>11</v>
      </c>
    </row>
    <row r="109" spans="2:6" ht="13.5" customHeight="1">
      <c r="B109" s="7">
        <v>103</v>
      </c>
      <c r="C109" s="8" t="s">
        <v>116</v>
      </c>
      <c r="D109" s="9" t="s">
        <v>10</v>
      </c>
      <c r="E109" s="10">
        <f>10+1+1+1</f>
        <v>13</v>
      </c>
      <c r="F109" s="9">
        <v>1</v>
      </c>
    </row>
    <row r="110" spans="2:6" ht="13.5" customHeight="1">
      <c r="B110" s="12">
        <v>104</v>
      </c>
      <c r="C110" s="8" t="s">
        <v>117</v>
      </c>
      <c r="D110" s="9" t="s">
        <v>19</v>
      </c>
      <c r="E110" s="10">
        <f>720+36+20+48+38+58</f>
        <v>920</v>
      </c>
      <c r="F110" s="9">
        <v>58</v>
      </c>
    </row>
    <row r="111" spans="2:6" ht="13.5" customHeight="1">
      <c r="B111" s="7">
        <v>105</v>
      </c>
      <c r="C111" s="8" t="s">
        <v>118</v>
      </c>
      <c r="D111" s="9" t="s">
        <v>40</v>
      </c>
      <c r="E111" s="10">
        <f>285+125+324+222+138+18+197+190+230+50+100+170+190+146+117+100+124+145+250</f>
        <v>3121</v>
      </c>
      <c r="F111" s="9">
        <v>179</v>
      </c>
    </row>
    <row r="112" spans="2:6" ht="13.5" customHeight="1">
      <c r="B112" s="12">
        <v>106</v>
      </c>
      <c r="C112" s="15" t="s">
        <v>119</v>
      </c>
      <c r="D112" s="9" t="s">
        <v>19</v>
      </c>
      <c r="E112" s="10">
        <f>180+10+5+17+10+10+16+13+19</f>
        <v>280</v>
      </c>
      <c r="F112" s="9">
        <v>19</v>
      </c>
    </row>
    <row r="113" spans="2:6" ht="13.5" customHeight="1">
      <c r="B113" s="7">
        <v>107</v>
      </c>
      <c r="C113" s="8" t="s">
        <v>120</v>
      </c>
      <c r="D113" s="9" t="s">
        <v>10</v>
      </c>
      <c r="E113" s="10">
        <f>50+5+5+5+3+5+7</f>
        <v>80</v>
      </c>
      <c r="F113" s="9">
        <v>7</v>
      </c>
    </row>
    <row r="114" spans="2:6" ht="13.5" customHeight="1">
      <c r="B114" s="12">
        <v>108</v>
      </c>
      <c r="C114" s="8" t="s">
        <v>121</v>
      </c>
      <c r="D114" s="9" t="s">
        <v>19</v>
      </c>
      <c r="E114" s="10">
        <f aca="true" t="shared" si="2" ref="E114:E115">1+1</f>
        <v>2</v>
      </c>
      <c r="F114" s="9">
        <v>1</v>
      </c>
    </row>
    <row r="115" spans="2:6" ht="27.75" customHeight="1">
      <c r="B115" s="7">
        <v>109</v>
      </c>
      <c r="C115" s="13" t="s">
        <v>122</v>
      </c>
      <c r="D115" s="9" t="s">
        <v>10</v>
      </c>
      <c r="E115" s="10">
        <f t="shared" si="2"/>
        <v>2</v>
      </c>
      <c r="F115" s="9">
        <v>1</v>
      </c>
    </row>
    <row r="116" spans="2:6" ht="13.5" customHeight="1">
      <c r="B116" s="12">
        <v>110</v>
      </c>
      <c r="C116" s="15" t="s">
        <v>123</v>
      </c>
      <c r="D116" s="9" t="s">
        <v>10</v>
      </c>
      <c r="E116" s="10">
        <f>24+1+2+2+2+3</f>
        <v>34</v>
      </c>
      <c r="F116" s="9">
        <v>3</v>
      </c>
    </row>
    <row r="117" spans="2:6" ht="13.5" customHeight="1">
      <c r="B117" s="7">
        <v>111</v>
      </c>
      <c r="C117" s="13" t="s">
        <v>124</v>
      </c>
      <c r="D117" s="16" t="s">
        <v>10</v>
      </c>
      <c r="E117" s="17">
        <f>5+5</f>
        <v>10</v>
      </c>
      <c r="F117" s="9">
        <v>5</v>
      </c>
    </row>
    <row r="118" spans="2:6" ht="13.5" customHeight="1">
      <c r="B118" s="12">
        <v>112</v>
      </c>
      <c r="C118" s="15" t="s">
        <v>125</v>
      </c>
      <c r="D118" s="9" t="s">
        <v>10</v>
      </c>
      <c r="E118" s="10">
        <f>20+1+5+5+10</f>
        <v>41</v>
      </c>
      <c r="F118" s="9">
        <v>10</v>
      </c>
    </row>
    <row r="119" spans="2:6" ht="13.5" customHeight="1">
      <c r="B119" s="7">
        <v>113</v>
      </c>
      <c r="C119" s="13" t="s">
        <v>126</v>
      </c>
      <c r="D119" s="9" t="s">
        <v>19</v>
      </c>
      <c r="E119" s="17">
        <f>50+80+130+80+90+73+47+100+150</f>
        <v>800</v>
      </c>
      <c r="F119" s="9">
        <v>150</v>
      </c>
    </row>
    <row r="120" spans="2:6" ht="13.5" customHeight="1">
      <c r="B120" s="12">
        <v>114</v>
      </c>
      <c r="C120" s="13" t="s">
        <v>127</v>
      </c>
      <c r="D120" s="9" t="s">
        <v>10</v>
      </c>
      <c r="E120" s="10">
        <f>5+3+3+3+2+4</f>
        <v>20</v>
      </c>
      <c r="F120" s="9">
        <v>4</v>
      </c>
    </row>
    <row r="121" spans="2:6" ht="13.5" customHeight="1">
      <c r="B121" s="7">
        <v>115</v>
      </c>
      <c r="C121" s="8" t="s">
        <v>128</v>
      </c>
      <c r="D121" s="9" t="s">
        <v>96</v>
      </c>
      <c r="E121" s="10">
        <f>1+1+2</f>
        <v>4</v>
      </c>
      <c r="F121" s="9">
        <v>3</v>
      </c>
    </row>
    <row r="122" spans="2:6" ht="13.5" customHeight="1">
      <c r="B122" s="12">
        <v>116</v>
      </c>
      <c r="C122" s="8" t="s">
        <v>129</v>
      </c>
      <c r="D122" s="9" t="s">
        <v>19</v>
      </c>
      <c r="E122" s="10">
        <v>1</v>
      </c>
      <c r="F122" s="9">
        <v>1</v>
      </c>
    </row>
    <row r="123" spans="2:6" ht="13.5" customHeight="1">
      <c r="B123" s="7">
        <v>117</v>
      </c>
      <c r="C123" s="8" t="s">
        <v>130</v>
      </c>
      <c r="D123" s="9" t="s">
        <v>10</v>
      </c>
      <c r="E123" s="10">
        <f>5+4+6</f>
        <v>15</v>
      </c>
      <c r="F123" s="9">
        <v>10</v>
      </c>
    </row>
    <row r="124" spans="2:8" s="23" customFormat="1" ht="27.75" customHeight="1">
      <c r="B124" s="24" t="s">
        <v>131</v>
      </c>
      <c r="C124" s="24"/>
      <c r="D124" s="24"/>
      <c r="E124" s="24"/>
      <c r="F124" s="24"/>
      <c r="G124" s="25"/>
      <c r="H124" s="25"/>
    </row>
    <row r="125" spans="2:6" s="23" customFormat="1" ht="13.5" customHeight="1">
      <c r="B125" s="12">
        <v>1</v>
      </c>
      <c r="C125" s="8" t="s">
        <v>132</v>
      </c>
      <c r="D125" s="9" t="s">
        <v>133</v>
      </c>
      <c r="E125" s="26">
        <f>240+240+120+120+120+139</f>
        <v>979</v>
      </c>
      <c r="F125" s="9">
        <v>180</v>
      </c>
    </row>
    <row r="126" spans="2:6" s="23" customFormat="1" ht="13.5" customHeight="1">
      <c r="B126" s="12">
        <v>2</v>
      </c>
      <c r="C126" s="8" t="s">
        <v>134</v>
      </c>
      <c r="D126" s="9" t="s">
        <v>133</v>
      </c>
      <c r="E126" s="26">
        <f>200+240+360+500+500+80+300+200+50</f>
        <v>2430</v>
      </c>
      <c r="F126" s="9">
        <v>5</v>
      </c>
    </row>
    <row r="127" spans="2:6" s="23" customFormat="1" ht="13.5" customHeight="1">
      <c r="B127" s="12">
        <v>3</v>
      </c>
      <c r="C127" s="8" t="s">
        <v>135</v>
      </c>
      <c r="D127" s="9" t="s">
        <v>133</v>
      </c>
      <c r="E127" s="26">
        <f>49+1160+65+485+467+63+70+200+200+1200+50+581+319+200+1200</f>
        <v>6309</v>
      </c>
      <c r="F127" s="9">
        <v>805</v>
      </c>
    </row>
    <row r="128" spans="2:6" s="23" customFormat="1" ht="13.5" customHeight="1">
      <c r="B128" s="12">
        <v>4</v>
      </c>
      <c r="C128" s="8" t="s">
        <v>136</v>
      </c>
      <c r="D128" s="9" t="s">
        <v>133</v>
      </c>
      <c r="E128" s="26">
        <f>26+124+150+150+50+40+15</f>
        <v>555</v>
      </c>
      <c r="F128" s="9">
        <v>2</v>
      </c>
    </row>
    <row r="129" spans="2:6" s="23" customFormat="1" ht="13.5" customHeight="1">
      <c r="B129" s="12">
        <v>5</v>
      </c>
      <c r="C129" s="8" t="s">
        <v>137</v>
      </c>
      <c r="D129" s="9" t="s">
        <v>10</v>
      </c>
      <c r="E129" s="26">
        <f>5+4+11</f>
        <v>20</v>
      </c>
      <c r="F129" s="9">
        <f>3.8-0.3</f>
        <v>3.5</v>
      </c>
    </row>
    <row r="130" spans="2:6" s="23" customFormat="1" ht="13.5" customHeight="1">
      <c r="B130" s="12">
        <v>6</v>
      </c>
      <c r="C130" s="27" t="s">
        <v>138</v>
      </c>
      <c r="D130" s="11" t="s">
        <v>133</v>
      </c>
      <c r="E130" s="28">
        <f>50+48+48+48+24</f>
        <v>218</v>
      </c>
      <c r="F130" s="11">
        <v>7</v>
      </c>
    </row>
    <row r="131" spans="2:6" s="23" customFormat="1" ht="13.5" customHeight="1">
      <c r="B131" s="12">
        <v>7</v>
      </c>
      <c r="C131" s="27" t="s">
        <v>139</v>
      </c>
      <c r="D131" s="11" t="s">
        <v>133</v>
      </c>
      <c r="E131" s="28">
        <f>60+60+60+16+24+24</f>
        <v>244</v>
      </c>
      <c r="F131" s="11">
        <v>8</v>
      </c>
    </row>
    <row r="132" spans="2:6" s="23" customFormat="1" ht="13.5" customHeight="1">
      <c r="B132" s="12">
        <v>8</v>
      </c>
      <c r="C132" s="29" t="s">
        <v>140</v>
      </c>
      <c r="D132" s="11" t="s">
        <v>10</v>
      </c>
      <c r="E132" s="28">
        <v>9</v>
      </c>
      <c r="F132" s="11">
        <v>3</v>
      </c>
    </row>
    <row r="133" spans="2:6" s="23" customFormat="1" ht="13.5" customHeight="1">
      <c r="B133" s="12">
        <v>9</v>
      </c>
      <c r="C133" s="29" t="s">
        <v>141</v>
      </c>
      <c r="D133" s="11" t="s">
        <v>10</v>
      </c>
      <c r="E133" s="28">
        <v>17</v>
      </c>
      <c r="F133" s="11">
        <v>5</v>
      </c>
    </row>
    <row r="134" spans="2:6" s="23" customFormat="1" ht="13.5" customHeight="1">
      <c r="B134" s="12">
        <v>10</v>
      </c>
      <c r="C134" s="29" t="s">
        <v>142</v>
      </c>
      <c r="D134" s="11" t="s">
        <v>10</v>
      </c>
      <c r="E134" s="28">
        <v>31</v>
      </c>
      <c r="F134" s="11">
        <v>17</v>
      </c>
    </row>
    <row r="135" spans="2:6" s="23" customFormat="1" ht="13.5" customHeight="1">
      <c r="B135" s="12">
        <v>11</v>
      </c>
      <c r="C135" s="30" t="s">
        <v>143</v>
      </c>
      <c r="D135" s="11" t="s">
        <v>133</v>
      </c>
      <c r="E135" s="28">
        <f>800+30</f>
        <v>830</v>
      </c>
      <c r="F135" s="11">
        <v>555</v>
      </c>
    </row>
    <row r="136" spans="2:6" s="23" customFormat="1" ht="13.5" customHeight="1">
      <c r="B136" s="12">
        <v>12</v>
      </c>
      <c r="C136" s="30" t="s">
        <v>144</v>
      </c>
      <c r="D136" s="11" t="s">
        <v>133</v>
      </c>
      <c r="E136" s="28">
        <f>253+7</f>
        <v>260</v>
      </c>
      <c r="F136" s="11">
        <v>91</v>
      </c>
    </row>
    <row r="137" spans="2:6" s="23" customFormat="1" ht="13.5" customHeight="1">
      <c r="B137" s="12">
        <v>13</v>
      </c>
      <c r="C137" s="31" t="s">
        <v>145</v>
      </c>
      <c r="D137" s="32" t="s">
        <v>10</v>
      </c>
      <c r="E137" s="26">
        <f>19+8+8+8+19</f>
        <v>62</v>
      </c>
      <c r="F137" s="9">
        <v>0</v>
      </c>
    </row>
    <row r="138" spans="2:6" s="23" customFormat="1" ht="13.5" customHeight="1">
      <c r="B138" s="12">
        <v>14</v>
      </c>
      <c r="C138" s="27" t="s">
        <v>146</v>
      </c>
      <c r="D138" s="11" t="s">
        <v>147</v>
      </c>
      <c r="E138" s="28">
        <f>1200+850+850+800+800+400+150+150+300+50+650+650+400+1450+750</f>
        <v>9450</v>
      </c>
      <c r="F138" s="11">
        <v>2200</v>
      </c>
    </row>
    <row r="139" spans="2:6" s="23" customFormat="1" ht="13.5" customHeight="1">
      <c r="B139" s="12">
        <v>15</v>
      </c>
      <c r="C139" s="8" t="s">
        <v>148</v>
      </c>
      <c r="D139" s="9" t="s">
        <v>147</v>
      </c>
      <c r="E139" s="26">
        <f>400+400+100+200+200+300+1000+100</f>
        <v>2700</v>
      </c>
      <c r="F139" s="9">
        <v>800</v>
      </c>
    </row>
    <row r="140" spans="2:6" s="23" customFormat="1" ht="13.5" customHeight="1">
      <c r="B140" s="12">
        <v>16</v>
      </c>
      <c r="C140" s="31" t="s">
        <v>149</v>
      </c>
      <c r="D140" s="32" t="s">
        <v>10</v>
      </c>
      <c r="E140" s="26">
        <f>19+8+8+8+19</f>
        <v>62</v>
      </c>
      <c r="F140" s="9">
        <v>0</v>
      </c>
    </row>
    <row r="141" spans="2:6" s="23" customFormat="1" ht="13.5" customHeight="1">
      <c r="B141" s="12">
        <v>17</v>
      </c>
      <c r="C141" s="27" t="s">
        <v>150</v>
      </c>
      <c r="D141" s="11" t="s">
        <v>133</v>
      </c>
      <c r="E141" s="28">
        <f>200+500+840+950+100+800+360+1000</f>
        <v>4750</v>
      </c>
      <c r="F141" s="11">
        <f>450+110+100</f>
        <v>660</v>
      </c>
    </row>
    <row r="142" spans="2:6" s="23" customFormat="1" ht="13.5" customHeight="1">
      <c r="B142" s="12">
        <v>18</v>
      </c>
      <c r="C142" s="8" t="s">
        <v>151</v>
      </c>
      <c r="D142" s="9" t="s">
        <v>133</v>
      </c>
      <c r="E142" s="26">
        <f>2000+1250+1250+1300+300+300</f>
        <v>6400</v>
      </c>
      <c r="F142" s="9">
        <v>85</v>
      </c>
    </row>
    <row r="143" spans="2:8" s="23" customFormat="1" ht="27.75" customHeight="1">
      <c r="B143" s="33" t="s">
        <v>152</v>
      </c>
      <c r="C143" s="33"/>
      <c r="D143" s="33"/>
      <c r="E143" s="33"/>
      <c r="F143" s="33"/>
      <c r="G143" s="25"/>
      <c r="H143" s="25"/>
    </row>
    <row r="144" spans="2:6" s="23" customFormat="1" ht="13.5" customHeight="1">
      <c r="B144" s="12">
        <v>1</v>
      </c>
      <c r="C144" s="8" t="s">
        <v>153</v>
      </c>
      <c r="D144" s="34" t="s">
        <v>19</v>
      </c>
      <c r="E144" s="34">
        <v>5</v>
      </c>
      <c r="F144" s="34">
        <v>5</v>
      </c>
    </row>
    <row r="145" spans="2:6" s="23" customFormat="1" ht="13.5" customHeight="1">
      <c r="B145" s="12">
        <v>2</v>
      </c>
      <c r="C145" s="8" t="s">
        <v>154</v>
      </c>
      <c r="D145" s="34" t="s">
        <v>19</v>
      </c>
      <c r="E145" s="34">
        <v>9</v>
      </c>
      <c r="F145" s="34">
        <v>9</v>
      </c>
    </row>
    <row r="146" spans="2:6" s="23" customFormat="1" ht="13.5" customHeight="1">
      <c r="B146" s="12">
        <v>3</v>
      </c>
      <c r="C146" s="8" t="s">
        <v>155</v>
      </c>
      <c r="D146" s="34" t="s">
        <v>19</v>
      </c>
      <c r="E146" s="34">
        <v>5</v>
      </c>
      <c r="F146" s="34">
        <v>5</v>
      </c>
    </row>
    <row r="147" spans="2:6" s="23" customFormat="1" ht="13.5" customHeight="1">
      <c r="B147" s="12">
        <v>4</v>
      </c>
      <c r="C147" s="8" t="s">
        <v>156</v>
      </c>
      <c r="D147" s="34" t="s">
        <v>10</v>
      </c>
      <c r="E147" s="34">
        <v>6</v>
      </c>
      <c r="F147" s="34">
        <v>6</v>
      </c>
    </row>
    <row r="148" spans="2:6" s="23" customFormat="1" ht="13.5" customHeight="1">
      <c r="B148" s="12">
        <v>5</v>
      </c>
      <c r="C148" s="8" t="s">
        <v>157</v>
      </c>
      <c r="D148" s="34" t="s">
        <v>158</v>
      </c>
      <c r="E148" s="34">
        <v>40</v>
      </c>
      <c r="F148" s="34">
        <v>34</v>
      </c>
    </row>
    <row r="149" spans="2:6" s="23" customFormat="1" ht="13.5" customHeight="1">
      <c r="B149" s="12">
        <v>6</v>
      </c>
      <c r="C149" s="8" t="s">
        <v>159</v>
      </c>
      <c r="D149" s="34" t="s">
        <v>19</v>
      </c>
      <c r="E149" s="34">
        <v>80</v>
      </c>
      <c r="F149" s="34">
        <v>80</v>
      </c>
    </row>
    <row r="150" spans="2:6" s="23" customFormat="1" ht="13.5" customHeight="1">
      <c r="B150" s="12">
        <v>7</v>
      </c>
      <c r="C150" s="8" t="s">
        <v>160</v>
      </c>
      <c r="D150" s="34" t="s">
        <v>133</v>
      </c>
      <c r="E150" s="34">
        <v>9</v>
      </c>
      <c r="F150" s="34">
        <v>9</v>
      </c>
    </row>
    <row r="151" spans="2:6" s="23" customFormat="1" ht="13.5" customHeight="1">
      <c r="B151" s="12">
        <v>8</v>
      </c>
      <c r="C151" s="15" t="s">
        <v>161</v>
      </c>
      <c r="D151" s="34" t="s">
        <v>10</v>
      </c>
      <c r="E151" s="34">
        <v>20</v>
      </c>
      <c r="F151" s="34">
        <v>17</v>
      </c>
    </row>
    <row r="152" spans="2:8" s="23" customFormat="1" ht="27.75" customHeight="1">
      <c r="B152" s="33" t="s">
        <v>162</v>
      </c>
      <c r="C152" s="33"/>
      <c r="D152" s="33"/>
      <c r="E152" s="33"/>
      <c r="F152" s="33"/>
      <c r="G152" s="25"/>
      <c r="H152" s="25"/>
    </row>
    <row r="153" spans="2:6" s="23" customFormat="1" ht="23.25">
      <c r="B153" s="12">
        <v>1</v>
      </c>
      <c r="C153" s="15" t="s">
        <v>163</v>
      </c>
      <c r="D153" s="34" t="s">
        <v>10</v>
      </c>
      <c r="E153" s="34">
        <v>392</v>
      </c>
      <c r="F153" s="34">
        <v>104</v>
      </c>
    </row>
    <row r="154" spans="2:6" s="23" customFormat="1" ht="12.75">
      <c r="B154" s="12">
        <v>2</v>
      </c>
      <c r="C154" s="15" t="s">
        <v>164</v>
      </c>
      <c r="D154" s="34" t="s">
        <v>19</v>
      </c>
      <c r="E154" s="34">
        <v>300</v>
      </c>
      <c r="F154" s="34">
        <v>300</v>
      </c>
    </row>
    <row r="155" spans="2:6" s="23" customFormat="1" ht="12.75">
      <c r="B155" s="12">
        <v>3</v>
      </c>
      <c r="C155" s="15" t="s">
        <v>165</v>
      </c>
      <c r="D155" s="34" t="s">
        <v>10</v>
      </c>
      <c r="E155" s="34">
        <v>73</v>
      </c>
      <c r="F155" s="34">
        <v>65</v>
      </c>
    </row>
    <row r="156" spans="2:6" s="23" customFormat="1" ht="24">
      <c r="B156" s="12">
        <v>4</v>
      </c>
      <c r="C156" s="15" t="s">
        <v>166</v>
      </c>
      <c r="D156" s="34" t="s">
        <v>133</v>
      </c>
      <c r="E156" s="34">
        <f>1320+1527</f>
        <v>2847</v>
      </c>
      <c r="F156" s="34">
        <v>1527</v>
      </c>
    </row>
    <row r="157" spans="2:6" s="23" customFormat="1" ht="34.5">
      <c r="B157" s="12">
        <v>5</v>
      </c>
      <c r="C157" s="27" t="s">
        <v>167</v>
      </c>
      <c r="D157" s="34" t="s">
        <v>133</v>
      </c>
      <c r="E157" s="18">
        <f>336+90+180+136</f>
        <v>742</v>
      </c>
      <c r="F157" s="34">
        <f>386+173</f>
        <v>559</v>
      </c>
    </row>
    <row r="158" spans="2:6" s="23" customFormat="1" ht="34.5">
      <c r="B158" s="12">
        <v>6</v>
      </c>
      <c r="C158" s="27" t="s">
        <v>168</v>
      </c>
      <c r="D158" s="34" t="s">
        <v>133</v>
      </c>
      <c r="E158" s="34">
        <f>1380+274+720+125</f>
        <v>2499</v>
      </c>
      <c r="F158" s="34">
        <f>557+269+206+423</f>
        <v>1455</v>
      </c>
    </row>
    <row r="159" spans="2:6" s="23" customFormat="1" ht="34.5">
      <c r="B159" s="12">
        <v>7</v>
      </c>
      <c r="C159" s="30" t="s">
        <v>169</v>
      </c>
      <c r="D159" s="34" t="s">
        <v>133</v>
      </c>
      <c r="E159" s="34">
        <f>111+30+60+73</f>
        <v>274</v>
      </c>
      <c r="F159" s="34">
        <f>32+42</f>
        <v>74</v>
      </c>
    </row>
    <row r="160" spans="2:6" s="23" customFormat="1" ht="12.75">
      <c r="B160" s="12">
        <v>8</v>
      </c>
      <c r="C160" s="30" t="s">
        <v>170</v>
      </c>
      <c r="D160" s="9" t="s">
        <v>133</v>
      </c>
      <c r="E160" s="9">
        <f aca="true" t="shared" si="3" ref="E160:E161">770+100+450+720</f>
        <v>2040</v>
      </c>
      <c r="F160" s="9">
        <f>315+651+720</f>
        <v>1686</v>
      </c>
    </row>
    <row r="161" spans="2:6" s="23" customFormat="1" ht="12.75">
      <c r="B161" s="12">
        <v>9</v>
      </c>
      <c r="C161" s="30" t="s">
        <v>171</v>
      </c>
      <c r="D161" s="9" t="s">
        <v>133</v>
      </c>
      <c r="E161" s="9">
        <f t="shared" si="3"/>
        <v>2040</v>
      </c>
      <c r="F161" s="9">
        <f>720+322+111+540</f>
        <v>1693</v>
      </c>
    </row>
    <row r="162" spans="2:6" s="23" customFormat="1" ht="12.75">
      <c r="B162" s="12">
        <v>10</v>
      </c>
      <c r="C162" s="30" t="s">
        <v>172</v>
      </c>
      <c r="D162" s="9" t="s">
        <v>133</v>
      </c>
      <c r="E162" s="9">
        <f>300+2700+12180</f>
        <v>15180</v>
      </c>
      <c r="F162" s="9">
        <v>6598</v>
      </c>
    </row>
    <row r="163" spans="2:6" s="23" customFormat="1" ht="12.75">
      <c r="B163" s="12">
        <v>11</v>
      </c>
      <c r="C163" s="15" t="s">
        <v>173</v>
      </c>
      <c r="D163" s="9" t="s">
        <v>10</v>
      </c>
      <c r="E163" s="10">
        <f>505+318</f>
        <v>823</v>
      </c>
      <c r="F163" s="9">
        <f>505+318</f>
        <v>823</v>
      </c>
    </row>
    <row r="164" spans="2:6" s="23" customFormat="1" ht="12.75">
      <c r="B164" s="12">
        <v>12</v>
      </c>
      <c r="C164" s="8" t="s">
        <v>174</v>
      </c>
      <c r="D164" s="9" t="s">
        <v>10</v>
      </c>
      <c r="E164" s="10">
        <f>432+948+20+40+112</f>
        <v>1552</v>
      </c>
      <c r="F164" s="9">
        <f>948+40+112</f>
        <v>1100</v>
      </c>
    </row>
    <row r="165" spans="2:8" s="23" customFormat="1" ht="27.75" customHeight="1">
      <c r="B165" s="33" t="s">
        <v>175</v>
      </c>
      <c r="C165" s="33"/>
      <c r="D165" s="33"/>
      <c r="E165" s="33"/>
      <c r="F165" s="33"/>
      <c r="G165" s="25"/>
      <c r="H165" s="25"/>
    </row>
    <row r="166" spans="2:6" s="23" customFormat="1" ht="13.5" customHeight="1">
      <c r="B166" s="12">
        <v>1</v>
      </c>
      <c r="C166" s="8" t="s">
        <v>53</v>
      </c>
      <c r="D166" s="9" t="s">
        <v>40</v>
      </c>
      <c r="E166" s="9">
        <f>3+5</f>
        <v>8</v>
      </c>
      <c r="F166" s="9">
        <v>0</v>
      </c>
    </row>
    <row r="167" spans="2:6" s="23" customFormat="1" ht="13.5" customHeight="1">
      <c r="B167" s="12">
        <v>2</v>
      </c>
      <c r="C167" s="8" t="s">
        <v>81</v>
      </c>
      <c r="D167" s="9" t="s">
        <v>40</v>
      </c>
      <c r="E167" s="9">
        <f>20+8+10+15</f>
        <v>53</v>
      </c>
      <c r="F167" s="9">
        <v>0</v>
      </c>
    </row>
    <row r="168" spans="2:6" s="23" customFormat="1" ht="13.5" customHeight="1">
      <c r="B168" s="12">
        <v>3</v>
      </c>
      <c r="C168" s="8" t="s">
        <v>176</v>
      </c>
      <c r="D168" s="9" t="s">
        <v>40</v>
      </c>
      <c r="E168" s="9">
        <f>5+4</f>
        <v>9</v>
      </c>
      <c r="F168" s="9">
        <v>0</v>
      </c>
    </row>
    <row r="169" spans="2:6" s="23" customFormat="1" ht="13.5" customHeight="1">
      <c r="B169" s="12">
        <v>4</v>
      </c>
      <c r="C169" s="8" t="s">
        <v>177</v>
      </c>
      <c r="D169" s="9" t="s">
        <v>40</v>
      </c>
      <c r="E169" s="9">
        <f>141+20+100+20+10</f>
        <v>291</v>
      </c>
      <c r="F169" s="9">
        <v>0</v>
      </c>
    </row>
    <row r="170" spans="2:6" s="23" customFormat="1" ht="13.5" customHeight="1">
      <c r="B170" s="12">
        <v>5</v>
      </c>
      <c r="C170" s="8" t="s">
        <v>178</v>
      </c>
      <c r="D170" s="9" t="s">
        <v>40</v>
      </c>
      <c r="E170" s="9">
        <f>4+1+4+3+5</f>
        <v>17</v>
      </c>
      <c r="F170" s="9">
        <v>0</v>
      </c>
    </row>
    <row r="171" spans="2:6" s="23" customFormat="1" ht="13.5" customHeight="1">
      <c r="B171" s="12">
        <v>6</v>
      </c>
      <c r="C171" s="19" t="s">
        <v>39</v>
      </c>
      <c r="D171" s="9" t="s">
        <v>40</v>
      </c>
      <c r="E171" s="9">
        <f>26+8+6</f>
        <v>40</v>
      </c>
      <c r="F171" s="9">
        <v>0</v>
      </c>
    </row>
    <row r="172" spans="2:6" s="23" customFormat="1" ht="13.5" customHeight="1">
      <c r="B172" s="12">
        <v>7</v>
      </c>
      <c r="C172" s="7" t="s">
        <v>179</v>
      </c>
      <c r="D172" s="9" t="s">
        <v>133</v>
      </c>
      <c r="E172" s="9">
        <v>45</v>
      </c>
      <c r="F172" s="9">
        <v>0</v>
      </c>
    </row>
    <row r="173" spans="2:6" s="23" customFormat="1" ht="13.5" customHeight="1">
      <c r="B173" s="12">
        <v>8</v>
      </c>
      <c r="C173" s="7" t="s">
        <v>180</v>
      </c>
      <c r="D173" s="9" t="s">
        <v>133</v>
      </c>
      <c r="E173" s="9">
        <v>500</v>
      </c>
      <c r="F173" s="9">
        <v>0</v>
      </c>
    </row>
    <row r="174" spans="3:6" ht="12.75">
      <c r="C174" s="14"/>
      <c r="D174" s="14"/>
      <c r="E174" s="14"/>
      <c r="F174" s="14"/>
    </row>
  </sheetData>
  <sheetProtection selectLockedCells="1" selectUnlockedCells="1"/>
  <mergeCells count="11">
    <mergeCell ref="B1:F1"/>
    <mergeCell ref="B3:B4"/>
    <mergeCell ref="C3:C4"/>
    <mergeCell ref="D3:D4"/>
    <mergeCell ref="E3:F3"/>
    <mergeCell ref="B5:F5"/>
    <mergeCell ref="B6:F6"/>
    <mergeCell ref="B124:F124"/>
    <mergeCell ref="B143:F143"/>
    <mergeCell ref="B152:F152"/>
    <mergeCell ref="B165:F1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2017-11-27T06:40:43Z</cp:lastPrinted>
  <dcterms:created xsi:type="dcterms:W3CDTF">1996-10-08T21:32:33Z</dcterms:created>
  <dcterms:modified xsi:type="dcterms:W3CDTF">2017-12-06T15:25:36Z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